
<file path=[Content_Types].xml><?xml version="1.0" encoding="utf-8"?>
<Types xmlns="http://schemas.openxmlformats.org/package/2006/content-types">
  <Override PartName="/xl/worksheets/sheet24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9.xml" ContentType="application/vnd.openxmlformats-officedocument.spreadsheetml.externalLink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7.xml" ContentType="application/vnd.openxmlformats-officedocument.spreadsheetml.worksheet+xml"/>
  <Override PartName="/xl/worksheets/sheet11.xml" ContentType="application/vnd.openxmlformats-officedocument.spreadsheetml.worksheet+xml"/>
  <Override PartName="/xl/worksheets/sheet20.xml" ContentType="application/vnd.openxmlformats-officedocument.spreadsheetml.worksheet+xml"/>
  <Override PartName="/xl/worksheets/sheet31.xml" ContentType="application/vnd.openxmlformats-officedocument.spreadsheetml.worksheet+xml"/>
  <Override PartName="/xl/externalLinks/externalLink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27.xml" ContentType="application/vnd.openxmlformats-officedocument.spreadsheetml.externalLink+xml"/>
  <Override PartName="/xl/drawings/drawing4.xml" ContentType="application/vnd.openxmlformats-officedocument.drawing+xml"/>
  <Override PartName="/xl/drawings/drawing17.xml" ContentType="application/vnd.openxmlformats-officedocument.drawing+xml"/>
  <Override PartName="/xl/drawings/drawing28.xml" ContentType="application/vnd.openxmlformats-officedocument.drawing+xml"/>
  <Default Extension="rels" ContentType="application/vnd.openxmlformats-package.relationships+xml"/>
  <Default Extension="xml" ContentType="application/xml"/>
  <Override PartName="/xl/worksheets/sheet5.xml" ContentType="application/vnd.openxmlformats-officedocument.spreadsheetml.worksheet+xml"/>
  <Override PartName="/xl/externalLinks/externalLink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25.xml" ContentType="application/vnd.openxmlformats-officedocument.spreadsheetml.externalLink+xml"/>
  <Override PartName="/xl/drawings/drawing2.xml" ContentType="application/vnd.openxmlformats-officedocument.drawing+xml"/>
  <Override PartName="/xl/drawings/drawing15.xml" ContentType="application/vnd.openxmlformats-officedocument.drawing+xml"/>
  <Override PartName="/xl/drawings/drawing26.xml" ContentType="application/vnd.openxmlformats-officedocument.drawing+xml"/>
  <Override PartName="/xl/worksheets/sheet3.xml" ContentType="application/vnd.openxmlformats-officedocument.spreadsheetml.worksheet+xml"/>
  <Override PartName="/xl/externalLinks/externalLink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23.xml" ContentType="application/vnd.openxmlformats-officedocument.spreadsheetml.externalLink+xml"/>
  <Override PartName="/xl/drawings/drawing13.xml" ContentType="application/vnd.openxmlformats-officedocument.drawing+xml"/>
  <Override PartName="/xl/drawings/drawing22.xml" ContentType="application/vnd.openxmlformats-officedocument.drawing+xml"/>
  <Override PartName="/xl/drawings/drawing24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21.xml" ContentType="application/vnd.openxmlformats-officedocument.spreadsheetml.externalLink+xml"/>
  <Override PartName="/xl/drawings/drawing11.xml" ContentType="application/vnd.openxmlformats-officedocument.drawing+xml"/>
  <Override PartName="/xl/drawings/drawing20.xml" ContentType="application/vnd.openxmlformats-officedocument.drawing+xml"/>
  <Override PartName="/xl/drawings/drawing31.xml" ContentType="application/vnd.openxmlformats-officedocument.drawing+xml"/>
  <Override PartName="/xl/worksheets/sheet29.xml" ContentType="application/vnd.openxmlformats-officedocument.spreadsheetml.worksheet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xl/worksheets/sheet18.xml" ContentType="application/vnd.openxmlformats-officedocument.spreadsheetml.worksheet+xml"/>
  <Override PartName="/xl/worksheets/sheet27.xml" ContentType="application/vnd.openxmlformats-officedocument.spreadsheetml.worksheet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Default Extension="png" ContentType="image/png"/>
  <Override PartName="/xl/drawings/drawing9.xml" ContentType="application/vnd.openxmlformats-officedocument.drawing+xml"/>
  <Override PartName="/xl/worksheets/sheet14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externalLinks/externalLink8.xml" ContentType="application/vnd.openxmlformats-officedocument.spreadsheetml.externalLink+xml"/>
  <Override PartName="/xl/externalLinks/externalLink19.xml" ContentType="application/vnd.openxmlformats-officedocument.spreadsheetml.externalLink+xml"/>
  <Override PartName="/xl/drawings/drawing7.xml" ContentType="application/vnd.openxmlformats-officedocument.drawing+xml"/>
  <Override PartName="/xl/drawings/drawing29.xml" ContentType="application/vnd.openxmlformats-officedocument.drawing+xml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Override PartName="/xl/worksheets/sheet12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6.xml" ContentType="application/vnd.openxmlformats-officedocument.spreadsheetml.externalLink+xml"/>
  <Override PartName="/xl/externalLinks/externalLink17.xml" ContentType="application/vnd.openxmlformats-officedocument.spreadsheetml.externalLink+xml"/>
  <Default Extension="jpeg" ContentType="image/jpeg"/>
  <Override PartName="/xl/drawings/drawing5.xml" ContentType="application/vnd.openxmlformats-officedocument.drawing+xml"/>
  <Override PartName="/xl/drawings/drawing18.xml" ContentType="application/vnd.openxmlformats-officedocument.drawing+xml"/>
  <Override PartName="/xl/drawings/drawing27.xml" ContentType="application/vnd.openxmlformats-officedocument.drawing+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6.xml" ContentType="application/vnd.openxmlformats-officedocument.spreadsheetml.externalLink+xml"/>
  <Override PartName="/xl/drawings/drawing3.xml" ContentType="application/vnd.openxmlformats-officedocument.drawing+xml"/>
  <Override PartName="/xl/drawings/drawing16.xml" ContentType="application/vnd.openxmlformats-officedocument.drawing+xml"/>
  <Override PartName="/xl/drawings/drawing25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22.xml" ContentType="application/vnd.openxmlformats-officedocument.spreadsheetml.externalLink+xml"/>
  <Override PartName="/xl/drawings/drawing1.xml" ContentType="application/vnd.openxmlformats-officedocument.drawing+xml"/>
  <Override PartName="/xl/drawings/drawing14.xml" ContentType="application/vnd.openxmlformats-officedocument.drawing+xml"/>
  <Override PartName="/xl/drawings/drawing23.xml" ContentType="application/vnd.openxmlformats-officedocument.drawing+xml"/>
  <Override PartName="/xl/drawings/drawing32.xml" ContentType="application/vnd.openxmlformats-officedocument.drawing+xml"/>
  <Override PartName="/xl/externalLinks/externalLink11.xml" ContentType="application/vnd.openxmlformats-officedocument.spreadsheetml.externalLink+xml"/>
  <Override PartName="/xl/externalLinks/externalLink20.xml" ContentType="application/vnd.openxmlformats-officedocument.spreadsheetml.externalLink+xml"/>
  <Override PartName="/xl/drawings/drawing12.xml" ContentType="application/vnd.openxmlformats-officedocument.drawing+xml"/>
  <Override PartName="/xl/drawings/drawing21.xml" ContentType="application/vnd.openxmlformats-officedocument.drawing+xml"/>
  <Override PartName="/xl/drawings/drawing30.xml" ContentType="application/vnd.openxmlformats-officedocument.drawing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drawings/drawing10.xml" ContentType="application/vnd.openxmlformats-officedocument.drawing+xml"/>
  <Override PartName="/xl/worksheets/sheet17.xml" ContentType="application/vnd.openxmlformats-officedocument.spreadsheetml.worksheet+xml"/>
  <Override PartName="/xl/worksheets/sheet26.xml" ContentType="application/vnd.openxmlformats-officedocument.spreadsheetml.worksheet+xml"/>
  <Override PartName="/docProps/core.xml" ContentType="application/vnd.openxmlformats-package.core-properties+xml"/>
  <Override PartName="/xl/worksheets/sheet15.xml" ContentType="application/vnd.openxmlformats-officedocument.spreadsheetml.worksheet+xml"/>
  <Override PartName="/xl/worksheets/sheet9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drawings/drawing8.xml" ContentType="application/vnd.openxmlformats-officedocument.drawing+xml"/>
  <Override PartName="/xl/drawings/drawing19.xml" ContentType="application/vnd.openxmlformats-officedocument.drawin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4240" windowHeight="13740" tabRatio="839"/>
  </bookViews>
  <sheets>
    <sheet name="I REKAP RETRIBUSI " sheetId="133" r:id="rId1"/>
    <sheet name="II.REALISASI DAK" sheetId="136" r:id="rId2"/>
    <sheet name="III.REKAP PENERIMAAN BOS" sheetId="137" r:id="rId3"/>
    <sheet name="IV. REKAP SPJ FUNGSIONAL 2018" sheetId="145" r:id="rId4"/>
    <sheet name="V PENGEMBALIAN BP" sheetId="146" r:id="rId5"/>
    <sheet name="VI DAFTAR PIUTANG Pnd RETRI" sheetId="164" r:id="rId6"/>
    <sheet name="VII TAGIHAN ANGSURAN" sheetId="120" r:id="rId7"/>
    <sheet name="VIII. TPTGR" sheetId="150" r:id="rId8"/>
    <sheet name="IX.PIUTANG TAK TERTAGIH" sheetId="176" r:id="rId9"/>
    <sheet name="X. DAFTAR PERSEDIAAN" sheetId="163" r:id="rId10"/>
    <sheet name="XI. DAFTAR KUPEM" sheetId="152" r:id="rId11"/>
    <sheet name="XII % KEPEMILIKAN SAHAM" sheetId="153" r:id="rId12"/>
    <sheet name="XIII. MUTASI ASET TETAP" sheetId="177" r:id="rId13"/>
    <sheet name="XIV. KdP" sheetId="155" r:id="rId14"/>
    <sheet name="XV.PENYUSUTAN ASET TETAP" sheetId="156" r:id="rId15"/>
    <sheet name="XVI ASET TAK BERWUJUD" sheetId="157" r:id="rId16"/>
    <sheet name="XVII. ASET LAINNYA" sheetId="158" r:id="rId17"/>
    <sheet name="XVIII UTANG JANGKA PENDEK 2018" sheetId="180" r:id="rId18"/>
    <sheet name="XIX. UTANG BAGI HASIL PAJ" sheetId="162" r:id="rId19"/>
    <sheet name="XX PENERIMAAN HIBAH" sheetId="175" r:id="rId20"/>
    <sheet name="XXI.DAFTAR HIBAH BARANG SKPD" sheetId="178" r:id="rId21"/>
    <sheet name="XVI DAMPAK KUMULATIF" sheetId="179" r:id="rId22"/>
    <sheet name="XXIII. REKAP BANTUAN PEMERINTAH" sheetId="165" r:id="rId23"/>
    <sheet name="XXIV. IPP" sheetId="166" r:id="rId24"/>
    <sheet name="XXV. BOS APBN" sheetId="167" r:id="rId25"/>
    <sheet name="XXVI. BEBAN BANPER" sheetId="181" r:id="rId26"/>
    <sheet name="XXVII. BEBAN IPP" sheetId="169" r:id="rId27"/>
    <sheet name="XXVIII. SALDO KAS BOS" sheetId="170" r:id="rId28"/>
    <sheet name="XXIX. PENDAPATAN BANPER" sheetId="171" r:id="rId29"/>
    <sheet name="XXX. PENDAPATAN IPP" sheetId="172" r:id="rId30"/>
    <sheet name="XXXI. SALDO KAS BANPER" sheetId="182" r:id="rId31"/>
    <sheet name="XXXII. SALDO KAS IPP" sheetId="174" r:id="rId32"/>
  </sheets>
  <externalReferences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</externalReferences>
  <definedNames>
    <definedName name="_xlnm._FilterDatabase" localSheetId="19" hidden="1">'XX PENERIMAAN HIBAH'!$B$4:$J$317</definedName>
    <definedName name="_xlnm._FilterDatabase" localSheetId="22" hidden="1">'XXIII. REKAP BANTUAN PEMERINTAH'!$D$6:$D$102</definedName>
    <definedName name="_xlnm._FilterDatabase" localSheetId="23" hidden="1">'XXIV. IPP'!#REF!</definedName>
    <definedName name="_xlnm._FilterDatabase" localSheetId="28" hidden="1">'XXIX. PENDAPATAN BANPER'!#REF!</definedName>
    <definedName name="_xlnm._FilterDatabase" localSheetId="24" hidden="1">'XXV. BOS APBN'!$A$5:$C$91</definedName>
    <definedName name="_xlnm._FilterDatabase" localSheetId="27" hidden="1">'XXVIII. SALDO KAS BOS'!$A$7:$C$93</definedName>
    <definedName name="_xlnm._FilterDatabase" localSheetId="29" hidden="1">'XXX. PENDAPATAN IPP'!#REF!</definedName>
    <definedName name="_xlnm._FilterDatabase" localSheetId="31" hidden="1">'XXXII. SALDO KAS IPP'!#REF!</definedName>
    <definedName name="Daftar" localSheetId="0">[1]Jurnal!$P$1:$Q$220</definedName>
    <definedName name="Daftar" localSheetId="1">[1]Jurnal!$P$1:$Q$220</definedName>
    <definedName name="Daftar" localSheetId="2">[1]Jurnal!$P$1:$Q$220</definedName>
    <definedName name="Daftar" localSheetId="3">[2]Jurnal!$P$1:$Q$220</definedName>
    <definedName name="Daftar" localSheetId="8">[2]Jurnal!$P$1:$Q$220</definedName>
    <definedName name="Daftar" localSheetId="4">[2]Jurnal!$P$1:$Q$220</definedName>
    <definedName name="Daftar" localSheetId="5">[2]Jurnal!$P$1:$Q$220</definedName>
    <definedName name="Daftar" localSheetId="6">[3]Jurnal!$P$1:$Q$220</definedName>
    <definedName name="Daftar" localSheetId="7">[4]Jurnal!$P$1:$Q$220</definedName>
    <definedName name="Daftar" localSheetId="9">[2]Jurnal!$P$1:$Q$220</definedName>
    <definedName name="Daftar" localSheetId="10">[2]Jurnal!$P$1:$Q$220</definedName>
    <definedName name="Daftar" localSheetId="11">[2]Jurnal!$P$1:$Q$220</definedName>
    <definedName name="Daftar" localSheetId="12">[2]Jurnal!$P$1:$Q$220</definedName>
    <definedName name="Daftar" localSheetId="13">[2]Jurnal!$P$1:$Q$220</definedName>
    <definedName name="Daftar" localSheetId="18">[2]Jurnal!$P$1:$Q$220</definedName>
    <definedName name="Daftar" localSheetId="14">[2]Jurnal!$P$1:$Q$220</definedName>
    <definedName name="Daftar" localSheetId="15">[2]Jurnal!$P$1:$Q$220</definedName>
    <definedName name="Daftar" localSheetId="21">[2]Jurnal!$P$1:$Q$220</definedName>
    <definedName name="Daftar" localSheetId="16">[2]Jurnal!$P$1:$Q$220</definedName>
    <definedName name="Daftar" localSheetId="17">[5]Jurnal!$P$1:$Q$220</definedName>
    <definedName name="Daftar" localSheetId="19">[2]Jurnal!$P$1:$Q$220</definedName>
    <definedName name="Daftar" localSheetId="20">[5]Jurnal!$P$1:$Q$220</definedName>
    <definedName name="Daftar" localSheetId="22">[2]Jurnal!$P$1:$Q$220</definedName>
    <definedName name="Daftar" localSheetId="23">[2]Jurnal!$P$1:$Q$220</definedName>
    <definedName name="Daftar" localSheetId="28">[2]Jurnal!$P$1:$Q$220</definedName>
    <definedName name="Daftar" localSheetId="24">[2]Jurnal!$P$1:$Q$220</definedName>
    <definedName name="Daftar" localSheetId="25">[2]Jurnal!$P$1:$Q$220</definedName>
    <definedName name="Daftar" localSheetId="26">[2]Jurnal!$P$1:$Q$220</definedName>
    <definedName name="Daftar" localSheetId="27">[2]Jurnal!$P$1:$Q$220</definedName>
    <definedName name="Daftar" localSheetId="29">[2]Jurnal!$P$1:$Q$220</definedName>
    <definedName name="Daftar" localSheetId="30">[2]Jurnal!$P$1:$Q$220</definedName>
    <definedName name="Daftar" localSheetId="31">[2]Jurnal!$P$1:$Q$220</definedName>
    <definedName name="Daftar">[3]Jurnal!$P$1:$Q$220</definedName>
    <definedName name="_xlnm.Print_Area" localSheetId="7">'VIII. TPTGR'!$A$1:$J$693</definedName>
    <definedName name="_xlnm.Print_Area" localSheetId="9">'X. DAFTAR PERSEDIAAN'!$A$1:$U$45</definedName>
    <definedName name="_xlnm.Print_Area" localSheetId="17">'XVIII UTANG JANGKA PENDEK 2018'!$A$1:$H$90</definedName>
    <definedName name="_xlnm.Print_Titles" localSheetId="4">'V PENGEMBALIAN BP'!$6:$7</definedName>
    <definedName name="_xlnm.Print_Titles" localSheetId="5">'VI DAFTAR PIUTANG Pnd RETRI'!$6:$7</definedName>
    <definedName name="_xlnm.Print_Titles" localSheetId="7">'VIII. TPTGR'!$5:$9</definedName>
    <definedName name="_xlnm.Print_Titles" localSheetId="9">'X. DAFTAR PERSEDIAAN'!$6:$7</definedName>
    <definedName name="_xlnm.Print_Titles" localSheetId="13">'XIV. KdP'!$6:$6</definedName>
    <definedName name="_xlnm.Print_Titles" localSheetId="19">'XX PENERIMAAN HIBAH'!$4:$5</definedName>
    <definedName name="_xlnm.Print_Titles" localSheetId="20">'XXI.DAFTAR HIBAH BARANG SKPD'!$5:$5</definedName>
  </definedNames>
  <calcPr calcId="124519" concurrentCalc="0"/>
</workbook>
</file>

<file path=xl/calcChain.xml><?xml version="1.0" encoding="utf-8"?>
<calcChain xmlns="http://schemas.openxmlformats.org/spreadsheetml/2006/main">
  <c r="C96" i="182"/>
  <c r="B96"/>
  <c r="D94"/>
  <c r="D93"/>
  <c r="D92"/>
  <c r="D91"/>
  <c r="D90"/>
  <c r="D89"/>
  <c r="D88"/>
  <c r="D87"/>
  <c r="D86"/>
  <c r="D85"/>
  <c r="D84"/>
  <c r="D83"/>
  <c r="D82"/>
  <c r="D81"/>
  <c r="D80"/>
  <c r="D79"/>
  <c r="D78"/>
  <c r="D77"/>
  <c r="D76"/>
  <c r="D75"/>
  <c r="D74"/>
  <c r="D73"/>
  <c r="D72"/>
  <c r="D71"/>
  <c r="D70"/>
  <c r="D69"/>
  <c r="D68"/>
  <c r="D67"/>
  <c r="D66"/>
  <c r="D65"/>
  <c r="D64"/>
  <c r="D63"/>
  <c r="D62"/>
  <c r="D61"/>
  <c r="D60"/>
  <c r="D59"/>
  <c r="D58"/>
  <c r="D57"/>
  <c r="D56"/>
  <c r="D55"/>
  <c r="D54"/>
  <c r="D53"/>
  <c r="D52"/>
  <c r="D51"/>
  <c r="D50"/>
  <c r="D49"/>
  <c r="D48"/>
  <c r="D47"/>
  <c r="D46"/>
  <c r="D45"/>
  <c r="D44"/>
  <c r="D43"/>
  <c r="D42"/>
  <c r="D41"/>
  <c r="D40"/>
  <c r="D39"/>
  <c r="D38"/>
  <c r="D37"/>
  <c r="D36"/>
  <c r="D35"/>
  <c r="D34"/>
  <c r="D33"/>
  <c r="D32"/>
  <c r="D31"/>
  <c r="D30"/>
  <c r="D29"/>
  <c r="D28"/>
  <c r="D27"/>
  <c r="D26"/>
  <c r="D25"/>
  <c r="D24"/>
  <c r="D23"/>
  <c r="D22"/>
  <c r="D21"/>
  <c r="D20"/>
  <c r="D19"/>
  <c r="D18"/>
  <c r="D17"/>
  <c r="D16"/>
  <c r="D15"/>
  <c r="D14"/>
  <c r="D13"/>
  <c r="D12"/>
  <c r="D11"/>
  <c r="D10"/>
  <c r="D9"/>
  <c r="D8"/>
  <c r="D96" s="1"/>
  <c r="G94" i="181"/>
  <c r="F94"/>
  <c r="E94"/>
  <c r="D94"/>
  <c r="D87"/>
  <c r="C87"/>
  <c r="C94" s="1"/>
  <c r="E90" i="180"/>
  <c r="H89"/>
  <c r="H88"/>
  <c r="H87"/>
  <c r="G87"/>
  <c r="F87"/>
  <c r="F86"/>
  <c r="H86" s="1"/>
  <c r="H85"/>
  <c r="H84"/>
  <c r="H83"/>
  <c r="H82"/>
  <c r="F82"/>
  <c r="H81"/>
  <c r="F81"/>
  <c r="H80"/>
  <c r="H79"/>
  <c r="H78"/>
  <c r="G78"/>
  <c r="H77"/>
  <c r="H76"/>
  <c r="F76"/>
  <c r="H75"/>
  <c r="H74"/>
  <c r="H73"/>
  <c r="H72"/>
  <c r="F72"/>
  <c r="H71"/>
  <c r="H70"/>
  <c r="H69"/>
  <c r="H68"/>
  <c r="H67"/>
  <c r="F67"/>
  <c r="H66"/>
  <c r="H65"/>
  <c r="H64"/>
  <c r="H63"/>
  <c r="H62"/>
  <c r="F62"/>
  <c r="H61"/>
  <c r="F61"/>
  <c r="H60"/>
  <c r="F60"/>
  <c r="I59"/>
  <c r="H59"/>
  <c r="F59"/>
  <c r="H58"/>
  <c r="H57"/>
  <c r="F57"/>
  <c r="H56"/>
  <c r="F55"/>
  <c r="H55" s="1"/>
  <c r="H54"/>
  <c r="H53"/>
  <c r="F53"/>
  <c r="H52"/>
  <c r="H51"/>
  <c r="H50"/>
  <c r="H49"/>
  <c r="H48"/>
  <c r="F48"/>
  <c r="H47"/>
  <c r="F47"/>
  <c r="H46"/>
  <c r="H45"/>
  <c r="H44"/>
  <c r="H43"/>
  <c r="H42"/>
  <c r="H41"/>
  <c r="H40"/>
  <c r="F40"/>
  <c r="H39"/>
  <c r="H38"/>
  <c r="H37"/>
  <c r="F36"/>
  <c r="H36" s="1"/>
  <c r="H35"/>
  <c r="F35"/>
  <c r="H34"/>
  <c r="H33"/>
  <c r="H32"/>
  <c r="F32"/>
  <c r="F31"/>
  <c r="H31" s="1"/>
  <c r="H30"/>
  <c r="H29"/>
  <c r="F29"/>
  <c r="H28"/>
  <c r="H27"/>
  <c r="H26"/>
  <c r="F26"/>
  <c r="H25"/>
  <c r="H24"/>
  <c r="H23"/>
  <c r="H22"/>
  <c r="H21"/>
  <c r="H20"/>
  <c r="H19"/>
  <c r="F18"/>
  <c r="H18" s="1"/>
  <c r="H17"/>
  <c r="F17"/>
  <c r="F16"/>
  <c r="H16" s="1"/>
  <c r="H15"/>
  <c r="F15"/>
  <c r="F14"/>
  <c r="H14" s="1"/>
  <c r="H13"/>
  <c r="G13"/>
  <c r="G90" s="1"/>
  <c r="H12"/>
  <c r="H11"/>
  <c r="H10"/>
  <c r="H9"/>
  <c r="H8"/>
  <c r="H7"/>
  <c r="H6"/>
  <c r="C31" i="179"/>
  <c r="AN31" s="1"/>
  <c r="AN30"/>
  <c r="AN29"/>
  <c r="AN28"/>
  <c r="AN27"/>
  <c r="AN26"/>
  <c r="AN25"/>
  <c r="AN24"/>
  <c r="AN23"/>
  <c r="AN22"/>
  <c r="AN21"/>
  <c r="AN20"/>
  <c r="AN19"/>
  <c r="AN18"/>
  <c r="AN17"/>
  <c r="AN16"/>
  <c r="AN15"/>
  <c r="AN14"/>
  <c r="AN13"/>
  <c r="AN12"/>
  <c r="AN11"/>
  <c r="AM10"/>
  <c r="AM33" s="1"/>
  <c r="AL10"/>
  <c r="AL33" s="1"/>
  <c r="AK10"/>
  <c r="AK33" s="1"/>
  <c r="AJ10"/>
  <c r="AJ33" s="1"/>
  <c r="AI10"/>
  <c r="AI33" s="1"/>
  <c r="AH10"/>
  <c r="AH33" s="1"/>
  <c r="AG10"/>
  <c r="AG33" s="1"/>
  <c r="AF10"/>
  <c r="AF33" s="1"/>
  <c r="AE10"/>
  <c r="AE33" s="1"/>
  <c r="AD10"/>
  <c r="AD33" s="1"/>
  <c r="AC10"/>
  <c r="AC33" s="1"/>
  <c r="AB10"/>
  <c r="AB33" s="1"/>
  <c r="AA10"/>
  <c r="AA33" s="1"/>
  <c r="Z10"/>
  <c r="Z33" s="1"/>
  <c r="Y10"/>
  <c r="Y33" s="1"/>
  <c r="X10"/>
  <c r="X33" s="1"/>
  <c r="W10"/>
  <c r="W33" s="1"/>
  <c r="V10"/>
  <c r="V33" s="1"/>
  <c r="U10"/>
  <c r="U33" s="1"/>
  <c r="T10"/>
  <c r="T33" s="1"/>
  <c r="S10"/>
  <c r="S33" s="1"/>
  <c r="R10"/>
  <c r="R33" s="1"/>
  <c r="Q10"/>
  <c r="Q33" s="1"/>
  <c r="P10"/>
  <c r="P33" s="1"/>
  <c r="O10"/>
  <c r="O33" s="1"/>
  <c r="N10"/>
  <c r="N33" s="1"/>
  <c r="M10"/>
  <c r="M33" s="1"/>
  <c r="L10"/>
  <c r="L33" s="1"/>
  <c r="K10"/>
  <c r="K33" s="1"/>
  <c r="J10"/>
  <c r="J33" s="1"/>
  <c r="I10"/>
  <c r="I33" s="1"/>
  <c r="H10"/>
  <c r="H33" s="1"/>
  <c r="G10"/>
  <c r="G33" s="1"/>
  <c r="F10"/>
  <c r="F33" s="1"/>
  <c r="E10"/>
  <c r="E33" s="1"/>
  <c r="D10"/>
  <c r="D33" s="1"/>
  <c r="AN9"/>
  <c r="AN8"/>
  <c r="E364" i="178"/>
  <c r="E357"/>
  <c r="E351"/>
  <c r="E343"/>
  <c r="E279"/>
  <c r="E263"/>
  <c r="E192"/>
  <c r="E186"/>
  <c r="E29"/>
  <c r="I22"/>
  <c r="E22"/>
  <c r="E367" s="1"/>
  <c r="I13"/>
  <c r="P40" i="177"/>
  <c r="P39" s="1"/>
  <c r="O39"/>
  <c r="N39"/>
  <c r="M39"/>
  <c r="L39"/>
  <c r="K39"/>
  <c r="J39"/>
  <c r="I39"/>
  <c r="H39"/>
  <c r="G39"/>
  <c r="F39"/>
  <c r="E39"/>
  <c r="D39"/>
  <c r="P37"/>
  <c r="P36"/>
  <c r="O36"/>
  <c r="N36"/>
  <c r="M36"/>
  <c r="L36"/>
  <c r="L43" s="1"/>
  <c r="K36"/>
  <c r="J36"/>
  <c r="I36"/>
  <c r="H36"/>
  <c r="H43" s="1"/>
  <c r="G36"/>
  <c r="F36"/>
  <c r="E36"/>
  <c r="D36"/>
  <c r="D43" s="1"/>
  <c r="P34"/>
  <c r="P33"/>
  <c r="P32"/>
  <c r="P31"/>
  <c r="P30" s="1"/>
  <c r="O30"/>
  <c r="N30"/>
  <c r="M30"/>
  <c r="L30"/>
  <c r="K30"/>
  <c r="J30"/>
  <c r="I30"/>
  <c r="H30"/>
  <c r="G30"/>
  <c r="F30"/>
  <c r="E30"/>
  <c r="D30"/>
  <c r="P29"/>
  <c r="P28"/>
  <c r="P27"/>
  <c r="P26"/>
  <c r="P25" s="1"/>
  <c r="O25"/>
  <c r="N25"/>
  <c r="M25"/>
  <c r="L25"/>
  <c r="K25"/>
  <c r="J25"/>
  <c r="I25"/>
  <c r="H25"/>
  <c r="G25"/>
  <c r="F25"/>
  <c r="E25"/>
  <c r="D25"/>
  <c r="P24"/>
  <c r="P23"/>
  <c r="P22" s="1"/>
  <c r="O22"/>
  <c r="N22"/>
  <c r="M22"/>
  <c r="L22"/>
  <c r="K22"/>
  <c r="J22"/>
  <c r="I22"/>
  <c r="H22"/>
  <c r="G22"/>
  <c r="F22"/>
  <c r="E22"/>
  <c r="D22"/>
  <c r="P21"/>
  <c r="P20"/>
  <c r="P19"/>
  <c r="P18"/>
  <c r="P17"/>
  <c r="P16"/>
  <c r="P15"/>
  <c r="P14"/>
  <c r="P12" s="1"/>
  <c r="P13"/>
  <c r="O12"/>
  <c r="O43" s="1"/>
  <c r="N12"/>
  <c r="M12"/>
  <c r="L12"/>
  <c r="K12"/>
  <c r="K43" s="1"/>
  <c r="J12"/>
  <c r="I12"/>
  <c r="H12"/>
  <c r="G12"/>
  <c r="G43" s="1"/>
  <c r="F12"/>
  <c r="E12"/>
  <c r="D12"/>
  <c r="P11"/>
  <c r="P10" s="1"/>
  <c r="P43" s="1"/>
  <c r="O10"/>
  <c r="N10"/>
  <c r="N43" s="1"/>
  <c r="M10"/>
  <c r="M43" s="1"/>
  <c r="L10"/>
  <c r="K10"/>
  <c r="J10"/>
  <c r="J43" s="1"/>
  <c r="I10"/>
  <c r="I43" s="1"/>
  <c r="H10"/>
  <c r="G10"/>
  <c r="F10"/>
  <c r="F43" s="1"/>
  <c r="E10"/>
  <c r="E43" s="1"/>
  <c r="D10"/>
  <c r="M260" i="176"/>
  <c r="L260"/>
  <c r="K260"/>
  <c r="J260"/>
  <c r="I260"/>
  <c r="H260"/>
  <c r="G260"/>
  <c r="F260"/>
  <c r="E260"/>
  <c r="D260"/>
  <c r="N74"/>
  <c r="N56"/>
  <c r="N39"/>
  <c r="N10"/>
  <c r="H90" i="180" l="1"/>
  <c r="F90"/>
  <c r="C10" i="179"/>
  <c r="AN10" s="1"/>
  <c r="AN33" s="1"/>
  <c r="C33" l="1"/>
  <c r="F309" i="175" l="1"/>
  <c r="F298"/>
  <c r="F219"/>
  <c r="F214"/>
  <c r="H211"/>
  <c r="F210"/>
  <c r="F181"/>
  <c r="F166"/>
  <c r="F310" s="1"/>
  <c r="H134"/>
  <c r="H119"/>
  <c r="H103"/>
  <c r="H85"/>
  <c r="C95" i="174"/>
  <c r="C78" i="172"/>
  <c r="C77"/>
  <c r="C68"/>
  <c r="C60"/>
  <c r="C57"/>
  <c r="C50"/>
  <c r="C43"/>
  <c r="C29"/>
  <c r="C74" i="171"/>
  <c r="C73"/>
  <c r="C72"/>
  <c r="C64"/>
  <c r="C63"/>
  <c r="C61"/>
  <c r="C60"/>
  <c r="C59"/>
  <c r="C57"/>
  <c r="C56"/>
  <c r="C51"/>
  <c r="C24"/>
  <c r="D96" i="170"/>
  <c r="C96"/>
  <c r="E94"/>
  <c r="E93"/>
  <c r="E92"/>
  <c r="E91"/>
  <c r="E90"/>
  <c r="E89"/>
  <c r="E88"/>
  <c r="E87"/>
  <c r="E86"/>
  <c r="E85"/>
  <c r="E84"/>
  <c r="E83"/>
  <c r="E82"/>
  <c r="E81"/>
  <c r="E80"/>
  <c r="E79"/>
  <c r="E78"/>
  <c r="E77"/>
  <c r="E76"/>
  <c r="E75"/>
  <c r="E74"/>
  <c r="E73"/>
  <c r="E72"/>
  <c r="E71"/>
  <c r="E70"/>
  <c r="E69"/>
  <c r="E68"/>
  <c r="E67"/>
  <c r="E66"/>
  <c r="E65"/>
  <c r="E64"/>
  <c r="E63"/>
  <c r="E62"/>
  <c r="E61"/>
  <c r="E60"/>
  <c r="E59"/>
  <c r="E58"/>
  <c r="E57"/>
  <c r="E56"/>
  <c r="E55"/>
  <c r="E54"/>
  <c r="E53"/>
  <c r="E52"/>
  <c r="E51"/>
  <c r="E50"/>
  <c r="E49"/>
  <c r="E48"/>
  <c r="E47"/>
  <c r="E46"/>
  <c r="E45"/>
  <c r="E44"/>
  <c r="E43"/>
  <c r="E42"/>
  <c r="E41"/>
  <c r="E40"/>
  <c r="E39"/>
  <c r="E38"/>
  <c r="E37"/>
  <c r="E36"/>
  <c r="E35"/>
  <c r="E34"/>
  <c r="E33"/>
  <c r="E32"/>
  <c r="E31"/>
  <c r="E30"/>
  <c r="E29"/>
  <c r="E28"/>
  <c r="E27"/>
  <c r="E26"/>
  <c r="E25"/>
  <c r="E24"/>
  <c r="E23"/>
  <c r="E22"/>
  <c r="E21"/>
  <c r="E20"/>
  <c r="E19"/>
  <c r="E18"/>
  <c r="E17"/>
  <c r="E16"/>
  <c r="E15"/>
  <c r="E14"/>
  <c r="E13"/>
  <c r="E12"/>
  <c r="E11"/>
  <c r="E10"/>
  <c r="E9"/>
  <c r="E8"/>
  <c r="E96" s="1"/>
  <c r="F94" i="169"/>
  <c r="D94"/>
  <c r="C94"/>
  <c r="D76"/>
  <c r="D68"/>
  <c r="D61"/>
  <c r="D52"/>
  <c r="E43"/>
  <c r="D43"/>
  <c r="D25"/>
  <c r="E14"/>
  <c r="E12"/>
  <c r="E94" s="1"/>
  <c r="D11"/>
  <c r="D9"/>
  <c r="C94" i="167"/>
  <c r="C95" i="166"/>
  <c r="E95" i="165"/>
  <c r="D95"/>
  <c r="C95"/>
  <c r="E93"/>
  <c r="E92"/>
  <c r="E91"/>
  <c r="E90"/>
  <c r="E89"/>
  <c r="E88"/>
  <c r="E87"/>
  <c r="E86"/>
  <c r="E85"/>
  <c r="E84"/>
  <c r="E83"/>
  <c r="E82"/>
  <c r="E81"/>
  <c r="E80"/>
  <c r="E79"/>
  <c r="E78"/>
  <c r="E77"/>
  <c r="E76"/>
  <c r="E75"/>
  <c r="E74"/>
  <c r="E73"/>
  <c r="E72"/>
  <c r="E71"/>
  <c r="E70"/>
  <c r="E69"/>
  <c r="E68"/>
  <c r="E67"/>
  <c r="E66"/>
  <c r="E65"/>
  <c r="E64"/>
  <c r="E63"/>
  <c r="E62"/>
  <c r="E61"/>
  <c r="E60"/>
  <c r="E59"/>
  <c r="E58"/>
  <c r="E57"/>
  <c r="E56"/>
  <c r="E55"/>
  <c r="E54"/>
  <c r="E53"/>
  <c r="E52"/>
  <c r="E51"/>
  <c r="E50"/>
  <c r="E49"/>
  <c r="E48"/>
  <c r="E47"/>
  <c r="E46"/>
  <c r="E45"/>
  <c r="E44"/>
  <c r="E43"/>
  <c r="E42"/>
  <c r="E41"/>
  <c r="E40"/>
  <c r="E39"/>
  <c r="E38"/>
  <c r="E37"/>
  <c r="E36"/>
  <c r="E35"/>
  <c r="E34"/>
  <c r="E33"/>
  <c r="E32"/>
  <c r="E31"/>
  <c r="E30"/>
  <c r="E29"/>
  <c r="E28"/>
  <c r="E27"/>
  <c r="E26"/>
  <c r="E25"/>
  <c r="E24"/>
  <c r="E23"/>
  <c r="E22"/>
  <c r="E21"/>
  <c r="E20"/>
  <c r="E19"/>
  <c r="E18"/>
  <c r="E17"/>
  <c r="E16"/>
  <c r="E15"/>
  <c r="E14"/>
  <c r="E13"/>
  <c r="E12"/>
  <c r="E11"/>
  <c r="E10"/>
  <c r="E9"/>
  <c r="E8"/>
  <c r="E7"/>
  <c r="J72" i="162"/>
  <c r="I72"/>
  <c r="H72"/>
  <c r="G72"/>
  <c r="F72"/>
  <c r="E72"/>
  <c r="J70"/>
  <c r="J69"/>
  <c r="J68"/>
  <c r="J67"/>
  <c r="J66"/>
  <c r="J62"/>
  <c r="I62"/>
  <c r="G62"/>
  <c r="F62"/>
  <c r="E62"/>
  <c r="J61"/>
  <c r="J60"/>
  <c r="J59"/>
  <c r="J58"/>
  <c r="J57"/>
  <c r="J54"/>
  <c r="I54"/>
  <c r="G54"/>
  <c r="F54"/>
  <c r="E54"/>
  <c r="J53"/>
  <c r="J52"/>
  <c r="J51"/>
  <c r="J50"/>
  <c r="J49"/>
  <c r="J46"/>
  <c r="I46"/>
  <c r="G46"/>
  <c r="F46"/>
  <c r="E46"/>
  <c r="J45"/>
  <c r="J44"/>
  <c r="J43"/>
  <c r="J42"/>
  <c r="J41"/>
  <c r="J38"/>
  <c r="I38"/>
  <c r="G38"/>
  <c r="F38"/>
  <c r="E38"/>
  <c r="J37"/>
  <c r="J36"/>
  <c r="J35"/>
  <c r="J34"/>
  <c r="J33"/>
  <c r="J30"/>
  <c r="I30"/>
  <c r="G30"/>
  <c r="F30"/>
  <c r="E30"/>
  <c r="J29"/>
  <c r="J28"/>
  <c r="J27"/>
  <c r="J26"/>
  <c r="J25"/>
  <c r="J22"/>
  <c r="I22"/>
  <c r="G22"/>
  <c r="F22"/>
  <c r="E22"/>
  <c r="J21"/>
  <c r="J20"/>
  <c r="J19"/>
  <c r="J18"/>
  <c r="J17"/>
  <c r="J14"/>
  <c r="I14"/>
  <c r="G14"/>
  <c r="F14"/>
  <c r="E14"/>
  <c r="J13"/>
  <c r="J12"/>
  <c r="J11"/>
  <c r="J10"/>
  <c r="J9"/>
  <c r="Q20" i="158"/>
  <c r="P20"/>
  <c r="O20"/>
  <c r="N20"/>
  <c r="M20"/>
  <c r="K20"/>
  <c r="J20"/>
  <c r="I20"/>
  <c r="H20"/>
  <c r="G20"/>
  <c r="F20"/>
  <c r="D20"/>
  <c r="R18"/>
  <c r="Q18"/>
  <c r="L18"/>
  <c r="R17"/>
  <c r="R16"/>
  <c r="Q16"/>
  <c r="L16"/>
  <c r="R15"/>
  <c r="R14"/>
  <c r="Q14"/>
  <c r="L14"/>
  <c r="R13"/>
  <c r="Q12"/>
  <c r="E12"/>
  <c r="L12" s="1"/>
  <c r="R12" s="1"/>
  <c r="R20" s="1"/>
  <c r="R22" s="1"/>
  <c r="I71" i="157"/>
  <c r="H71"/>
  <c r="G71"/>
  <c r="F71"/>
  <c r="E71"/>
  <c r="I69"/>
  <c r="I68"/>
  <c r="I67"/>
  <c r="H67"/>
  <c r="G67"/>
  <c r="F67"/>
  <c r="E67"/>
  <c r="I65"/>
  <c r="I64"/>
  <c r="H64"/>
  <c r="G64"/>
  <c r="F64"/>
  <c r="E64"/>
  <c r="I62"/>
  <c r="I61"/>
  <c r="H61"/>
  <c r="G61"/>
  <c r="F61"/>
  <c r="E61"/>
  <c r="I59"/>
  <c r="I58"/>
  <c r="I57"/>
  <c r="I56"/>
  <c r="I55"/>
  <c r="H55"/>
  <c r="G55"/>
  <c r="F55"/>
  <c r="E55"/>
  <c r="I53"/>
  <c r="I52"/>
  <c r="H52"/>
  <c r="I51"/>
  <c r="I50"/>
  <c r="I49"/>
  <c r="I48"/>
  <c r="H48"/>
  <c r="I47"/>
  <c r="H47"/>
  <c r="I46"/>
  <c r="I45"/>
  <c r="I44"/>
  <c r="I43"/>
  <c r="I42"/>
  <c r="I41"/>
  <c r="I40"/>
  <c r="I39"/>
  <c r="H39"/>
  <c r="G39"/>
  <c r="F39"/>
  <c r="E39"/>
  <c r="I37"/>
  <c r="H37"/>
  <c r="I36"/>
  <c r="I35"/>
  <c r="I34"/>
  <c r="H34"/>
  <c r="I33"/>
  <c r="H33"/>
  <c r="I32"/>
  <c r="H32"/>
  <c r="G32"/>
  <c r="F32"/>
  <c r="E32"/>
  <c r="I30"/>
  <c r="I29"/>
  <c r="H29"/>
  <c r="G29"/>
  <c r="F29"/>
  <c r="E29"/>
  <c r="I26"/>
  <c r="I25"/>
  <c r="H25"/>
  <c r="G25"/>
  <c r="F25"/>
  <c r="E25"/>
  <c r="I23"/>
  <c r="I22"/>
  <c r="I21"/>
  <c r="H21"/>
  <c r="G21"/>
  <c r="F21"/>
  <c r="E21"/>
  <c r="I19"/>
  <c r="I18"/>
  <c r="H18"/>
  <c r="G18"/>
  <c r="F18"/>
  <c r="E18"/>
  <c r="I15"/>
  <c r="I14"/>
  <c r="H14"/>
  <c r="G14"/>
  <c r="F14"/>
  <c r="E14"/>
  <c r="I12"/>
  <c r="I11"/>
  <c r="H11"/>
  <c r="G11"/>
  <c r="F11"/>
  <c r="E11"/>
  <c r="I9"/>
  <c r="H9"/>
  <c r="I8"/>
  <c r="I7"/>
  <c r="H7"/>
  <c r="G7"/>
  <c r="F7"/>
  <c r="E7"/>
  <c r="AM25" i="156"/>
  <c r="AL25"/>
  <c r="AK25"/>
  <c r="AJ25"/>
  <c r="AI25"/>
  <c r="AH25"/>
  <c r="AG25"/>
  <c r="AF25"/>
  <c r="AE25"/>
  <c r="AD25"/>
  <c r="AC25"/>
  <c r="AB25"/>
  <c r="AA25"/>
  <c r="Z25"/>
  <c r="Y25"/>
  <c r="X25"/>
  <c r="W25"/>
  <c r="V25"/>
  <c r="U25"/>
  <c r="T25"/>
  <c r="S25"/>
  <c r="R25"/>
  <c r="Q25"/>
  <c r="P25"/>
  <c r="O25"/>
  <c r="N25"/>
  <c r="M25"/>
  <c r="L25"/>
  <c r="K25"/>
  <c r="J25"/>
  <c r="I25"/>
  <c r="H25"/>
  <c r="G25"/>
  <c r="F25"/>
  <c r="E25"/>
  <c r="D25"/>
  <c r="D23"/>
  <c r="D22"/>
  <c r="D21"/>
  <c r="D20"/>
  <c r="D19"/>
  <c r="D18"/>
  <c r="D17"/>
  <c r="D16"/>
  <c r="D15"/>
  <c r="D14"/>
  <c r="D13"/>
  <c r="D12"/>
  <c r="D11"/>
  <c r="D10"/>
  <c r="D9"/>
  <c r="D8"/>
  <c r="D7"/>
  <c r="G46" i="153"/>
  <c r="F46"/>
  <c r="E46"/>
  <c r="D46"/>
  <c r="G45"/>
  <c r="E45"/>
  <c r="G44"/>
  <c r="E44"/>
  <c r="G43"/>
  <c r="E43"/>
  <c r="G37"/>
  <c r="F37"/>
  <c r="E37"/>
  <c r="D37"/>
  <c r="G36"/>
  <c r="E36"/>
  <c r="G35"/>
  <c r="E35"/>
  <c r="G34"/>
  <c r="E34"/>
  <c r="G33"/>
  <c r="E33"/>
  <c r="K28"/>
  <c r="J28"/>
  <c r="I28"/>
  <c r="H28"/>
  <c r="G28"/>
  <c r="K26"/>
  <c r="I26"/>
  <c r="K25"/>
  <c r="I25"/>
  <c r="K24"/>
  <c r="I24"/>
  <c r="K23"/>
  <c r="I23"/>
  <c r="K20"/>
  <c r="I20"/>
  <c r="K19"/>
  <c r="J19"/>
  <c r="I19"/>
  <c r="K16"/>
  <c r="I16"/>
  <c r="K15"/>
  <c r="I15"/>
  <c r="K14"/>
  <c r="I14"/>
  <c r="J21" i="152"/>
  <c r="I21"/>
  <c r="H21"/>
  <c r="G21"/>
  <c r="J20"/>
  <c r="I20"/>
  <c r="H20"/>
  <c r="G20"/>
  <c r="F20"/>
  <c r="E20"/>
  <c r="D20"/>
  <c r="C20"/>
  <c r="J16"/>
  <c r="I16"/>
  <c r="F16"/>
  <c r="J13"/>
  <c r="I13"/>
  <c r="H13"/>
  <c r="G13"/>
  <c r="F13"/>
  <c r="J10"/>
  <c r="I10"/>
  <c r="F10"/>
  <c r="U45" i="163"/>
  <c r="T45"/>
  <c r="S45"/>
  <c r="R45"/>
  <c r="Q45"/>
  <c r="P45"/>
  <c r="O45"/>
  <c r="N45"/>
  <c r="M45"/>
  <c r="L45"/>
  <c r="K45"/>
  <c r="J45"/>
  <c r="I45"/>
  <c r="H45"/>
  <c r="G45"/>
  <c r="F45"/>
  <c r="E45"/>
  <c r="D45"/>
  <c r="U44"/>
  <c r="U43"/>
  <c r="U42"/>
  <c r="U41"/>
  <c r="U40"/>
  <c r="U39"/>
  <c r="U38"/>
  <c r="U37"/>
  <c r="U36"/>
  <c r="U35"/>
  <c r="U34"/>
  <c r="U33"/>
  <c r="U32"/>
  <c r="U31"/>
  <c r="U30"/>
  <c r="U29"/>
  <c r="U28"/>
  <c r="U27"/>
  <c r="U26"/>
  <c r="U25"/>
  <c r="U24"/>
  <c r="U23"/>
  <c r="U22"/>
  <c r="U21"/>
  <c r="U20"/>
  <c r="U19"/>
  <c r="U18"/>
  <c r="U17"/>
  <c r="U16"/>
  <c r="U15"/>
  <c r="U14"/>
  <c r="U13"/>
  <c r="U12"/>
  <c r="U11"/>
  <c r="U10"/>
  <c r="U9"/>
  <c r="I691" i="150"/>
  <c r="F691"/>
  <c r="I689"/>
  <c r="H689"/>
  <c r="G689"/>
  <c r="F689"/>
  <c r="D689"/>
  <c r="I687"/>
  <c r="F687"/>
  <c r="E687"/>
  <c r="I686"/>
  <c r="G686"/>
  <c r="F686"/>
  <c r="E686"/>
  <c r="D686"/>
  <c r="I685"/>
  <c r="G685"/>
  <c r="F685"/>
  <c r="E685"/>
  <c r="D685"/>
  <c r="I684"/>
  <c r="H684"/>
  <c r="G684"/>
  <c r="F684"/>
  <c r="D684"/>
  <c r="I682"/>
  <c r="H682"/>
  <c r="G682"/>
  <c r="F682"/>
  <c r="D682"/>
  <c r="J681"/>
  <c r="I680"/>
  <c r="G680"/>
  <c r="F680"/>
  <c r="D680"/>
  <c r="I675"/>
  <c r="F675"/>
  <c r="I674"/>
  <c r="F674"/>
  <c r="I673"/>
  <c r="F673"/>
  <c r="I672"/>
  <c r="F672"/>
  <c r="I671"/>
  <c r="F671"/>
  <c r="I666"/>
  <c r="F666"/>
  <c r="I665"/>
  <c r="F665"/>
  <c r="I664"/>
  <c r="I663"/>
  <c r="F663"/>
  <c r="I662"/>
  <c r="F662"/>
  <c r="I660"/>
  <c r="F660"/>
  <c r="I659"/>
  <c r="F659"/>
  <c r="I658"/>
  <c r="F658"/>
  <c r="I655"/>
  <c r="G655"/>
  <c r="F655"/>
  <c r="E655"/>
  <c r="D655"/>
  <c r="I654"/>
  <c r="F654"/>
  <c r="I653"/>
  <c r="F653"/>
  <c r="I652"/>
  <c r="F652"/>
  <c r="I651"/>
  <c r="H651"/>
  <c r="G651"/>
  <c r="F651"/>
  <c r="D651"/>
  <c r="I650"/>
  <c r="F650"/>
  <c r="I649"/>
  <c r="G649"/>
  <c r="F649"/>
  <c r="E649"/>
  <c r="D649"/>
  <c r="I648"/>
  <c r="F648"/>
  <c r="I647"/>
  <c r="F647"/>
  <c r="I646"/>
  <c r="G646"/>
  <c r="F646"/>
  <c r="D646"/>
  <c r="I645"/>
  <c r="F645"/>
  <c r="I644"/>
  <c r="F644"/>
  <c r="I643"/>
  <c r="F643"/>
  <c r="I642"/>
  <c r="G642"/>
  <c r="F642"/>
  <c r="E642"/>
  <c r="D642"/>
  <c r="I640"/>
  <c r="I639"/>
  <c r="F639"/>
  <c r="I638"/>
  <c r="H638"/>
  <c r="G638"/>
  <c r="F638"/>
  <c r="D638"/>
  <c r="I636"/>
  <c r="F636"/>
  <c r="I635"/>
  <c r="F635"/>
  <c r="I634"/>
  <c r="F634"/>
  <c r="I633"/>
  <c r="H633"/>
  <c r="G633"/>
  <c r="F633"/>
  <c r="E633"/>
  <c r="D633"/>
  <c r="I630"/>
  <c r="F629"/>
  <c r="F628"/>
  <c r="F627"/>
  <c r="I626"/>
  <c r="F626"/>
  <c r="I625"/>
  <c r="H625"/>
  <c r="G625"/>
  <c r="F625"/>
  <c r="E625"/>
  <c r="D625"/>
  <c r="I623"/>
  <c r="F623"/>
  <c r="I622"/>
  <c r="H622"/>
  <c r="G622"/>
  <c r="F622"/>
  <c r="D622"/>
  <c r="I620"/>
  <c r="F620"/>
  <c r="I619"/>
  <c r="F619"/>
  <c r="I618"/>
  <c r="F618"/>
  <c r="I615"/>
  <c r="F615"/>
  <c r="I614"/>
  <c r="G614"/>
  <c r="F614"/>
  <c r="E614"/>
  <c r="D614"/>
  <c r="I612"/>
  <c r="F612"/>
  <c r="I611"/>
  <c r="F611"/>
  <c r="I610"/>
  <c r="H610"/>
  <c r="G610"/>
  <c r="F610"/>
  <c r="D610"/>
  <c r="I608"/>
  <c r="F608"/>
  <c r="I607"/>
  <c r="F607"/>
  <c r="I606"/>
  <c r="F606"/>
  <c r="I605"/>
  <c r="F605"/>
  <c r="I604"/>
  <c r="F604"/>
  <c r="I603"/>
  <c r="H603"/>
  <c r="G603"/>
  <c r="F603"/>
  <c r="D603"/>
  <c r="I601"/>
  <c r="F601"/>
  <c r="I600"/>
  <c r="H600"/>
  <c r="G600"/>
  <c r="F600"/>
  <c r="D600"/>
  <c r="I598"/>
  <c r="F598"/>
  <c r="I597"/>
  <c r="F597"/>
  <c r="I596"/>
  <c r="H596"/>
  <c r="G596"/>
  <c r="F596"/>
  <c r="E596"/>
  <c r="D596"/>
  <c r="I594"/>
  <c r="F594"/>
  <c r="I593"/>
  <c r="F593"/>
  <c r="I592"/>
  <c r="F592"/>
  <c r="I591"/>
  <c r="F591"/>
  <c r="I590"/>
  <c r="F590"/>
  <c r="I589"/>
  <c r="G589"/>
  <c r="F589"/>
  <c r="D589"/>
  <c r="I587"/>
  <c r="F587"/>
  <c r="I586"/>
  <c r="G586"/>
  <c r="F586"/>
  <c r="E586"/>
  <c r="D586"/>
  <c r="I584"/>
  <c r="F584"/>
  <c r="I578"/>
  <c r="F578"/>
  <c r="I573"/>
  <c r="F573"/>
  <c r="I572"/>
  <c r="G572"/>
  <c r="F572"/>
  <c r="E572"/>
  <c r="D572"/>
  <c r="I571"/>
  <c r="F571"/>
  <c r="I570"/>
  <c r="F570"/>
  <c r="I565"/>
  <c r="F565"/>
  <c r="I564"/>
  <c r="G564"/>
  <c r="F564"/>
  <c r="D564"/>
  <c r="I562"/>
  <c r="F562"/>
  <c r="I561"/>
  <c r="H561"/>
  <c r="G561"/>
  <c r="F561"/>
  <c r="E561"/>
  <c r="D561"/>
  <c r="I560"/>
  <c r="F560"/>
  <c r="I559"/>
  <c r="H559"/>
  <c r="G559"/>
  <c r="F559"/>
  <c r="E559"/>
  <c r="D559"/>
  <c r="I557"/>
  <c r="F557"/>
  <c r="I556"/>
  <c r="F556"/>
  <c r="I555"/>
  <c r="H555"/>
  <c r="G555"/>
  <c r="F555"/>
  <c r="D555"/>
  <c r="I551"/>
  <c r="F551"/>
  <c r="I550"/>
  <c r="G550"/>
  <c r="F550"/>
  <c r="E550"/>
  <c r="D550"/>
  <c r="I548"/>
  <c r="F548"/>
  <c r="I547"/>
  <c r="G547"/>
  <c r="F547"/>
  <c r="D547"/>
  <c r="I545"/>
  <c r="F545"/>
  <c r="I544"/>
  <c r="F544"/>
  <c r="I543"/>
  <c r="G543"/>
  <c r="F543"/>
  <c r="D543"/>
  <c r="I540"/>
  <c r="F540"/>
  <c r="I539"/>
  <c r="F539"/>
  <c r="I537"/>
  <c r="F537"/>
  <c r="I536"/>
  <c r="F536"/>
  <c r="I534"/>
  <c r="F534"/>
  <c r="I531"/>
  <c r="F531"/>
  <c r="I530"/>
  <c r="F530"/>
  <c r="I528"/>
  <c r="F528"/>
  <c r="I527"/>
  <c r="G527"/>
  <c r="F527"/>
  <c r="E527"/>
  <c r="D527"/>
  <c r="I521"/>
  <c r="F521"/>
  <c r="I519"/>
  <c r="F519"/>
  <c r="I518"/>
  <c r="G518"/>
  <c r="F518"/>
  <c r="D518"/>
  <c r="F515"/>
  <c r="F514"/>
  <c r="F513"/>
  <c r="F512"/>
  <c r="I511"/>
  <c r="F511"/>
  <c r="I510"/>
  <c r="F510"/>
  <c r="I509"/>
  <c r="G509"/>
  <c r="F509"/>
  <c r="E509"/>
  <c r="D509"/>
  <c r="I507"/>
  <c r="F507"/>
  <c r="I506"/>
  <c r="G506"/>
  <c r="F506"/>
  <c r="D506"/>
  <c r="I502"/>
  <c r="F502"/>
  <c r="I501"/>
  <c r="G501"/>
  <c r="F501"/>
  <c r="D501"/>
  <c r="I499"/>
  <c r="G499"/>
  <c r="F499"/>
  <c r="I484"/>
  <c r="F484"/>
  <c r="I483"/>
  <c r="F483"/>
  <c r="I482"/>
  <c r="F482"/>
  <c r="I480"/>
  <c r="F480"/>
  <c r="I477"/>
  <c r="F477"/>
  <c r="I476"/>
  <c r="G476"/>
  <c r="F476"/>
  <c r="E476"/>
  <c r="D476"/>
  <c r="I474"/>
  <c r="F474"/>
  <c r="I471"/>
  <c r="F471"/>
  <c r="I467"/>
  <c r="F467"/>
  <c r="I466"/>
  <c r="F466"/>
  <c r="I465"/>
  <c r="F465"/>
  <c r="I464"/>
  <c r="F464"/>
  <c r="I462"/>
  <c r="F462"/>
  <c r="I461"/>
  <c r="F461"/>
  <c r="I456"/>
  <c r="F456"/>
  <c r="I455"/>
  <c r="G455"/>
  <c r="F455"/>
  <c r="D455"/>
  <c r="I449"/>
  <c r="F449"/>
  <c r="I446"/>
  <c r="F446"/>
  <c r="I445"/>
  <c r="G445"/>
  <c r="F445"/>
  <c r="E445"/>
  <c r="D445"/>
  <c r="I441"/>
  <c r="F441"/>
  <c r="I438"/>
  <c r="F438"/>
  <c r="I437"/>
  <c r="F437"/>
  <c r="I436"/>
  <c r="F436"/>
  <c r="I435"/>
  <c r="G435"/>
  <c r="F435"/>
  <c r="D435"/>
  <c r="I432"/>
  <c r="F432"/>
  <c r="I431"/>
  <c r="F431"/>
  <c r="I428"/>
  <c r="F428"/>
  <c r="I427"/>
  <c r="G427"/>
  <c r="F427"/>
  <c r="D427"/>
  <c r="I424"/>
  <c r="G424"/>
  <c r="F424"/>
  <c r="I423"/>
  <c r="F423"/>
  <c r="I422"/>
  <c r="F422"/>
  <c r="I421"/>
  <c r="F421"/>
  <c r="I420"/>
  <c r="F420"/>
  <c r="I416"/>
  <c r="F416"/>
  <c r="I415"/>
  <c r="G415"/>
  <c r="F415"/>
  <c r="E415"/>
  <c r="D415"/>
  <c r="I413"/>
  <c r="F413"/>
  <c r="I412"/>
  <c r="F412"/>
  <c r="I411"/>
  <c r="F411"/>
  <c r="I410"/>
  <c r="G410"/>
  <c r="F410"/>
  <c r="D410"/>
  <c r="I407"/>
  <c r="F407"/>
  <c r="I406"/>
  <c r="F406"/>
  <c r="I401"/>
  <c r="F401"/>
  <c r="A401"/>
  <c r="I400"/>
  <c r="F400"/>
  <c r="A400"/>
  <c r="I399"/>
  <c r="F399"/>
  <c r="A399"/>
  <c r="I398"/>
  <c r="F398"/>
  <c r="A398"/>
  <c r="I397"/>
  <c r="F397"/>
  <c r="I396"/>
  <c r="G396"/>
  <c r="F396"/>
  <c r="D396"/>
  <c r="A394"/>
  <c r="A393"/>
  <c r="I392"/>
  <c r="F392"/>
  <c r="I391"/>
  <c r="G391"/>
  <c r="F391"/>
  <c r="D391"/>
  <c r="I389"/>
  <c r="F389"/>
  <c r="A389"/>
  <c r="I388"/>
  <c r="F388"/>
  <c r="A388"/>
  <c r="I387"/>
  <c r="F387"/>
  <c r="A387"/>
  <c r="I386"/>
  <c r="F386"/>
  <c r="A386"/>
  <c r="I385"/>
  <c r="F385"/>
  <c r="A385"/>
  <c r="A384"/>
  <c r="I383"/>
  <c r="G383"/>
  <c r="F383"/>
  <c r="I382"/>
  <c r="G382"/>
  <c r="F382"/>
  <c r="D382"/>
  <c r="I372"/>
  <c r="F372"/>
  <c r="I369"/>
  <c r="F369"/>
  <c r="I367"/>
  <c r="F367"/>
  <c r="A367"/>
  <c r="I366"/>
  <c r="F366"/>
  <c r="A366"/>
  <c r="I365"/>
  <c r="F365"/>
  <c r="I364"/>
  <c r="G364"/>
  <c r="F364"/>
  <c r="D364"/>
  <c r="I362"/>
  <c r="F362"/>
  <c r="A362"/>
  <c r="I361"/>
  <c r="F361"/>
  <c r="A361"/>
  <c r="I360"/>
  <c r="F360"/>
  <c r="A360"/>
  <c r="I359"/>
  <c r="F359"/>
  <c r="A359"/>
  <c r="I358"/>
  <c r="F358"/>
  <c r="A358"/>
  <c r="I357"/>
  <c r="F357"/>
  <c r="A357"/>
  <c r="I356"/>
  <c r="F356"/>
  <c r="A356"/>
  <c r="I355"/>
  <c r="F355"/>
  <c r="A355"/>
  <c r="I354"/>
  <c r="F354"/>
  <c r="I353"/>
  <c r="G353"/>
  <c r="F353"/>
  <c r="D353"/>
  <c r="I349"/>
  <c r="F349"/>
  <c r="A349"/>
  <c r="I348"/>
  <c r="F348"/>
  <c r="A348"/>
  <c r="I347"/>
  <c r="F347"/>
  <c r="A347"/>
  <c r="I346"/>
  <c r="F346"/>
  <c r="A346"/>
  <c r="I345"/>
  <c r="F345"/>
  <c r="A345"/>
  <c r="I344"/>
  <c r="F344"/>
  <c r="A344"/>
  <c r="I343"/>
  <c r="F343"/>
  <c r="A343"/>
  <c r="I342"/>
  <c r="F342"/>
  <c r="A342"/>
  <c r="I341"/>
  <c r="F341"/>
  <c r="A341"/>
  <c r="I340"/>
  <c r="F340"/>
  <c r="I339"/>
  <c r="G339"/>
  <c r="F339"/>
  <c r="D339"/>
  <c r="I335"/>
  <c r="F335"/>
  <c r="I334"/>
  <c r="G334"/>
  <c r="F334"/>
  <c r="D334"/>
  <c r="I332"/>
  <c r="F332"/>
  <c r="A332"/>
  <c r="I331"/>
  <c r="F331"/>
  <c r="A331"/>
  <c r="I330"/>
  <c r="F330"/>
  <c r="I329"/>
  <c r="H329"/>
  <c r="G329"/>
  <c r="F329"/>
  <c r="E329"/>
  <c r="D329"/>
  <c r="A326"/>
  <c r="I325"/>
  <c r="G325"/>
  <c r="F325"/>
  <c r="A325"/>
  <c r="A324"/>
  <c r="I323"/>
  <c r="G323"/>
  <c r="F323"/>
  <c r="A323"/>
  <c r="A322"/>
  <c r="I321"/>
  <c r="G321"/>
  <c r="F321"/>
  <c r="A321"/>
  <c r="A320"/>
  <c r="A319"/>
  <c r="I318"/>
  <c r="F318"/>
  <c r="A318"/>
  <c r="I317"/>
  <c r="F317"/>
  <c r="A317"/>
  <c r="I316"/>
  <c r="F316"/>
  <c r="A316"/>
  <c r="I315"/>
  <c r="F315"/>
  <c r="A315"/>
  <c r="A314"/>
  <c r="I313"/>
  <c r="F313"/>
  <c r="A313"/>
  <c r="I312"/>
  <c r="F312"/>
  <c r="A312"/>
  <c r="I311"/>
  <c r="F311"/>
  <c r="A311"/>
  <c r="I310"/>
  <c r="I309"/>
  <c r="G309"/>
  <c r="F309"/>
  <c r="E309"/>
  <c r="D309"/>
  <c r="I307"/>
  <c r="F307"/>
  <c r="I306"/>
  <c r="G306"/>
  <c r="F306"/>
  <c r="E306"/>
  <c r="D306"/>
  <c r="I303"/>
  <c r="F303"/>
  <c r="I302"/>
  <c r="G302"/>
  <c r="F302"/>
  <c r="D302"/>
  <c r="I300"/>
  <c r="F300"/>
  <c r="I299"/>
  <c r="G299"/>
  <c r="F299"/>
  <c r="D299"/>
  <c r="I297"/>
  <c r="F297"/>
  <c r="I296"/>
  <c r="G296"/>
  <c r="F296"/>
  <c r="D296"/>
  <c r="I291"/>
  <c r="F291"/>
  <c r="I286"/>
  <c r="F286"/>
  <c r="I279"/>
  <c r="F279"/>
  <c r="I268"/>
  <c r="F268"/>
  <c r="I266"/>
  <c r="F266"/>
  <c r="I264"/>
  <c r="F264"/>
  <c r="I244"/>
  <c r="F244"/>
  <c r="I243"/>
  <c r="G243"/>
  <c r="F243"/>
  <c r="D243"/>
  <c r="I232"/>
  <c r="F232"/>
  <c r="I230"/>
  <c r="H230"/>
  <c r="G230"/>
  <c r="F230"/>
  <c r="D230"/>
  <c r="I228"/>
  <c r="G228"/>
  <c r="F228"/>
  <c r="E228"/>
  <c r="D228"/>
  <c r="I227"/>
  <c r="G227"/>
  <c r="F227"/>
  <c r="E227"/>
  <c r="D227"/>
  <c r="I226"/>
  <c r="H226"/>
  <c r="G226"/>
  <c r="F226"/>
  <c r="D226"/>
  <c r="I224"/>
  <c r="G224"/>
  <c r="F224"/>
  <c r="D224"/>
  <c r="I222"/>
  <c r="G222"/>
  <c r="F222"/>
  <c r="D222"/>
  <c r="I220"/>
  <c r="F220"/>
  <c r="I219"/>
  <c r="F219"/>
  <c r="I218"/>
  <c r="I217"/>
  <c r="C217"/>
  <c r="I216"/>
  <c r="F216"/>
  <c r="I215"/>
  <c r="F215"/>
  <c r="I214"/>
  <c r="F214"/>
  <c r="I213"/>
  <c r="F213"/>
  <c r="I211"/>
  <c r="F211"/>
  <c r="I210"/>
  <c r="F210"/>
  <c r="I209"/>
  <c r="F209"/>
  <c r="I208"/>
  <c r="F208"/>
  <c r="I207"/>
  <c r="F207"/>
  <c r="I206"/>
  <c r="F206"/>
  <c r="I205"/>
  <c r="F205"/>
  <c r="I204"/>
  <c r="F204"/>
  <c r="I203"/>
  <c r="F203"/>
  <c r="C203"/>
  <c r="I202"/>
  <c r="F202"/>
  <c r="I201"/>
  <c r="F201"/>
  <c r="I200"/>
  <c r="F200"/>
  <c r="I199"/>
  <c r="F199"/>
  <c r="I198"/>
  <c r="F198"/>
  <c r="I197"/>
  <c r="F197"/>
  <c r="I196"/>
  <c r="F196"/>
  <c r="I195"/>
  <c r="F195"/>
  <c r="I194"/>
  <c r="F194"/>
  <c r="I193"/>
  <c r="F193"/>
  <c r="I192"/>
  <c r="F192"/>
  <c r="I191"/>
  <c r="F191"/>
  <c r="I190"/>
  <c r="F190"/>
  <c r="I189"/>
  <c r="F189"/>
  <c r="I188"/>
  <c r="F188"/>
  <c r="I187"/>
  <c r="F187"/>
  <c r="I186"/>
  <c r="F186"/>
  <c r="I185"/>
  <c r="F185"/>
  <c r="I184"/>
  <c r="F184"/>
  <c r="I183"/>
  <c r="F183"/>
  <c r="I181"/>
  <c r="F181"/>
  <c r="C181"/>
  <c r="I179"/>
  <c r="F179"/>
  <c r="I177"/>
  <c r="F177"/>
  <c r="I176"/>
  <c r="F176"/>
  <c r="I175"/>
  <c r="F175"/>
  <c r="I174"/>
  <c r="F174"/>
  <c r="I173"/>
  <c r="F173"/>
  <c r="I170"/>
  <c r="G170"/>
  <c r="F170"/>
  <c r="E170"/>
  <c r="D170"/>
  <c r="I168"/>
  <c r="F168"/>
  <c r="I167"/>
  <c r="F167"/>
  <c r="I166"/>
  <c r="F166"/>
  <c r="I165"/>
  <c r="F165"/>
  <c r="I164"/>
  <c r="F164"/>
  <c r="I163"/>
  <c r="H163"/>
  <c r="G163"/>
  <c r="F163"/>
  <c r="E163"/>
  <c r="D163"/>
  <c r="I161"/>
  <c r="F161"/>
  <c r="C161"/>
  <c r="I160"/>
  <c r="F160"/>
  <c r="D159"/>
  <c r="I158"/>
  <c r="F158"/>
  <c r="C158"/>
  <c r="I157"/>
  <c r="F157"/>
  <c r="I156"/>
  <c r="F156"/>
  <c r="D155"/>
  <c r="I154"/>
  <c r="H154"/>
  <c r="G154"/>
  <c r="F154"/>
  <c r="E154"/>
  <c r="D154"/>
  <c r="I152"/>
  <c r="F152"/>
  <c r="I151"/>
  <c r="G151"/>
  <c r="F151"/>
  <c r="E151"/>
  <c r="D151"/>
  <c r="I149"/>
  <c r="I148"/>
  <c r="F148"/>
  <c r="I147"/>
  <c r="F147"/>
  <c r="I146"/>
  <c r="H146"/>
  <c r="G146"/>
  <c r="F146"/>
  <c r="D146"/>
  <c r="I144"/>
  <c r="F144"/>
  <c r="I143"/>
  <c r="F143"/>
  <c r="I142"/>
  <c r="H142"/>
  <c r="G142"/>
  <c r="F142"/>
  <c r="D142"/>
  <c r="I140"/>
  <c r="F140"/>
  <c r="I139"/>
  <c r="F139"/>
  <c r="I138"/>
  <c r="G138"/>
  <c r="F138"/>
  <c r="D138"/>
  <c r="I136"/>
  <c r="F136"/>
  <c r="I135"/>
  <c r="H135"/>
  <c r="G135"/>
  <c r="F135"/>
  <c r="E135"/>
  <c r="D135"/>
  <c r="I133"/>
  <c r="F133"/>
  <c r="I132"/>
  <c r="F132"/>
  <c r="I131"/>
  <c r="F131"/>
  <c r="I130"/>
  <c r="F130"/>
  <c r="I129"/>
  <c r="F129"/>
  <c r="I128"/>
  <c r="H128"/>
  <c r="G128"/>
  <c r="F128"/>
  <c r="D128"/>
  <c r="I126"/>
  <c r="F126"/>
  <c r="I125"/>
  <c r="F125"/>
  <c r="I124"/>
  <c r="G124"/>
  <c r="F124"/>
  <c r="D124"/>
  <c r="I120"/>
  <c r="F120"/>
  <c r="I119"/>
  <c r="F119"/>
  <c r="I114"/>
  <c r="F114"/>
  <c r="I113"/>
  <c r="G113"/>
  <c r="F113"/>
  <c r="E113"/>
  <c r="D113"/>
  <c r="I111"/>
  <c r="F111"/>
  <c r="I109"/>
  <c r="F109"/>
  <c r="I107"/>
  <c r="F107"/>
  <c r="I106"/>
  <c r="G106"/>
  <c r="F106"/>
  <c r="E106"/>
  <c r="D106"/>
  <c r="I104"/>
  <c r="F104"/>
  <c r="I103"/>
  <c r="F103"/>
  <c r="I102"/>
  <c r="F102"/>
  <c r="I101"/>
  <c r="F101"/>
  <c r="I100"/>
  <c r="F100"/>
  <c r="I99"/>
  <c r="F99"/>
  <c r="I93"/>
  <c r="F93"/>
  <c r="I92"/>
  <c r="F92"/>
  <c r="I91"/>
  <c r="G91"/>
  <c r="F91"/>
  <c r="D91"/>
  <c r="I88"/>
  <c r="F88"/>
  <c r="I87"/>
  <c r="G87"/>
  <c r="F87"/>
  <c r="D87"/>
  <c r="I85"/>
  <c r="F85"/>
  <c r="I84"/>
  <c r="F84"/>
  <c r="I83"/>
  <c r="F83"/>
  <c r="I82"/>
  <c r="F82"/>
  <c r="I81"/>
  <c r="F81"/>
  <c r="I80"/>
  <c r="F80"/>
  <c r="I79"/>
  <c r="F79"/>
  <c r="I78"/>
  <c r="F78"/>
  <c r="I77"/>
  <c r="F77"/>
  <c r="I76"/>
  <c r="F76"/>
  <c r="I75"/>
  <c r="F75"/>
  <c r="I74"/>
  <c r="F74"/>
  <c r="I72"/>
  <c r="F72"/>
  <c r="I71"/>
  <c r="F71"/>
  <c r="I70"/>
  <c r="F70"/>
  <c r="I69"/>
  <c r="G69"/>
  <c r="F69"/>
  <c r="D69"/>
  <c r="I68"/>
  <c r="F68"/>
  <c r="I67"/>
  <c r="H67"/>
  <c r="G67"/>
  <c r="F67"/>
  <c r="D67"/>
  <c r="I65"/>
  <c r="F65"/>
  <c r="I64"/>
  <c r="F64"/>
  <c r="I63"/>
  <c r="F63"/>
  <c r="I62"/>
  <c r="F62"/>
  <c r="I61"/>
  <c r="F61"/>
  <c r="I59"/>
  <c r="F59"/>
  <c r="I58"/>
  <c r="F58"/>
  <c r="I56"/>
  <c r="F56"/>
  <c r="I50"/>
  <c r="F50"/>
  <c r="I47"/>
  <c r="F47"/>
  <c r="I46"/>
  <c r="H46"/>
  <c r="G46"/>
  <c r="F46"/>
  <c r="D46"/>
  <c r="I44"/>
  <c r="F44"/>
  <c r="I43"/>
  <c r="G43"/>
  <c r="F43"/>
  <c r="E43"/>
  <c r="D43"/>
  <c r="I39"/>
  <c r="F39"/>
  <c r="I38"/>
  <c r="G38"/>
  <c r="F38"/>
  <c r="D38"/>
  <c r="H28"/>
  <c r="E28"/>
  <c r="I26"/>
  <c r="H26"/>
  <c r="G26"/>
  <c r="F26"/>
  <c r="E26"/>
  <c r="C26"/>
  <c r="H24"/>
  <c r="E24"/>
  <c r="D24"/>
  <c r="H23"/>
  <c r="E23"/>
  <c r="D23"/>
  <c r="H22"/>
  <c r="E22"/>
  <c r="D22"/>
  <c r="I21"/>
  <c r="H21"/>
  <c r="G21"/>
  <c r="F21"/>
  <c r="E21"/>
  <c r="C21"/>
  <c r="F29" i="120"/>
  <c r="E29"/>
  <c r="D29"/>
  <c r="G28"/>
  <c r="R23"/>
  <c r="Q23"/>
  <c r="P23"/>
  <c r="O23"/>
  <c r="N23"/>
  <c r="M23"/>
  <c r="L23"/>
  <c r="K23"/>
  <c r="J23"/>
  <c r="I23"/>
  <c r="H23"/>
  <c r="G23"/>
  <c r="F23"/>
  <c r="E23"/>
  <c r="D23"/>
  <c r="R22"/>
  <c r="P22"/>
  <c r="O22"/>
  <c r="L22"/>
  <c r="I22"/>
  <c r="D22"/>
  <c r="R21"/>
  <c r="O21"/>
  <c r="L21"/>
  <c r="I21"/>
  <c r="D21"/>
  <c r="R20"/>
  <c r="O20"/>
  <c r="L20"/>
  <c r="I20"/>
  <c r="D20"/>
  <c r="R17"/>
  <c r="Q17"/>
  <c r="P17"/>
  <c r="O17"/>
  <c r="N17"/>
  <c r="M17"/>
  <c r="L17"/>
  <c r="K17"/>
  <c r="J17"/>
  <c r="I17"/>
  <c r="H17"/>
  <c r="G17"/>
  <c r="F17"/>
  <c r="E17"/>
  <c r="D17"/>
  <c r="R16"/>
  <c r="M16"/>
  <c r="J16"/>
  <c r="G16"/>
  <c r="E16"/>
  <c r="R15"/>
  <c r="M15"/>
  <c r="J15"/>
  <c r="G15"/>
  <c r="R14"/>
  <c r="M14"/>
  <c r="J14"/>
  <c r="G14"/>
  <c r="G9"/>
  <c r="F9"/>
  <c r="E9"/>
  <c r="D9"/>
  <c r="F8"/>
  <c r="H126" i="164"/>
  <c r="G126"/>
  <c r="F126"/>
  <c r="E126"/>
  <c r="H124"/>
  <c r="H123"/>
  <c r="H122"/>
  <c r="H121"/>
  <c r="H120"/>
  <c r="H119"/>
  <c r="H118"/>
  <c r="H117"/>
  <c r="H116"/>
  <c r="H115"/>
  <c r="H114"/>
  <c r="H113"/>
  <c r="H112"/>
  <c r="H111"/>
  <c r="H110"/>
  <c r="H109"/>
  <c r="H108"/>
  <c r="H107"/>
  <c r="H106"/>
  <c r="H105"/>
  <c r="H104"/>
  <c r="H103"/>
  <c r="H102"/>
  <c r="H101"/>
  <c r="H100"/>
  <c r="H99"/>
  <c r="H98"/>
  <c r="H97"/>
  <c r="H96"/>
  <c r="H95"/>
  <c r="H94"/>
  <c r="H93"/>
  <c r="H92"/>
  <c r="H91"/>
  <c r="H90"/>
  <c r="H89"/>
  <c r="H88"/>
  <c r="H87"/>
  <c r="H86"/>
  <c r="H85"/>
  <c r="H84"/>
  <c r="H83"/>
  <c r="H82"/>
  <c r="H81"/>
  <c r="H80"/>
  <c r="H79"/>
  <c r="H78"/>
  <c r="H76"/>
  <c r="H75"/>
  <c r="H74"/>
  <c r="H73"/>
  <c r="H72"/>
  <c r="H71"/>
  <c r="H70"/>
  <c r="H69"/>
  <c r="H68"/>
  <c r="H67"/>
  <c r="H66"/>
  <c r="H65"/>
  <c r="H64"/>
  <c r="H63"/>
  <c r="H62"/>
  <c r="H60"/>
  <c r="H59"/>
  <c r="H58"/>
  <c r="H57"/>
  <c r="H56"/>
  <c r="H55"/>
  <c r="H54"/>
  <c r="H53"/>
  <c r="H52"/>
  <c r="H51"/>
  <c r="H50"/>
  <c r="H49"/>
  <c r="H48"/>
  <c r="H47"/>
  <c r="H46"/>
  <c r="H45"/>
  <c r="H44"/>
  <c r="H41"/>
  <c r="H39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F321" i="146"/>
  <c r="L58" i="145"/>
  <c r="L54"/>
  <c r="K54"/>
  <c r="J54"/>
  <c r="I54"/>
  <c r="H54"/>
  <c r="G54"/>
  <c r="F54"/>
  <c r="E54"/>
  <c r="D54"/>
  <c r="L51"/>
  <c r="H51"/>
  <c r="L50"/>
  <c r="H50"/>
  <c r="L49"/>
  <c r="H49"/>
  <c r="L48"/>
  <c r="H48"/>
  <c r="L47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K38"/>
  <c r="H38"/>
  <c r="L37"/>
  <c r="H37"/>
  <c r="L36"/>
  <c r="H36"/>
  <c r="L35"/>
  <c r="H35"/>
  <c r="L34"/>
  <c r="H34"/>
  <c r="L33"/>
  <c r="H33"/>
  <c r="L32"/>
  <c r="K32"/>
  <c r="H32"/>
  <c r="L31"/>
  <c r="H31"/>
  <c r="L30"/>
  <c r="H30"/>
  <c r="L29"/>
  <c r="H29"/>
  <c r="L28"/>
  <c r="H28"/>
  <c r="L27"/>
  <c r="H27"/>
  <c r="L26"/>
  <c r="H26"/>
  <c r="L25"/>
  <c r="H25"/>
  <c r="L24"/>
  <c r="H24"/>
  <c r="H23"/>
  <c r="L22"/>
  <c r="H22"/>
  <c r="L21"/>
  <c r="H21"/>
  <c r="L20"/>
  <c r="H20"/>
  <c r="L19"/>
  <c r="H19"/>
  <c r="L18"/>
  <c r="H18"/>
  <c r="L17"/>
  <c r="H17"/>
  <c r="L16"/>
  <c r="H16"/>
  <c r="L15"/>
  <c r="H15"/>
  <c r="F72" i="137"/>
  <c r="G37"/>
  <c r="F37"/>
  <c r="E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I46" i="136"/>
  <c r="H46"/>
  <c r="G46"/>
  <c r="F46"/>
  <c r="E46"/>
  <c r="H44"/>
  <c r="G44"/>
  <c r="F44"/>
  <c r="E44"/>
  <c r="H42"/>
  <c r="H40"/>
  <c r="H38"/>
  <c r="H36"/>
  <c r="H34"/>
  <c r="H32"/>
  <c r="H30"/>
  <c r="G30"/>
  <c r="F30"/>
  <c r="E30"/>
  <c r="H28"/>
  <c r="H26"/>
  <c r="H24"/>
  <c r="H22"/>
  <c r="H16"/>
  <c r="H15"/>
  <c r="G15"/>
  <c r="F15"/>
  <c r="E15"/>
  <c r="H11"/>
  <c r="H9"/>
  <c r="H8"/>
  <c r="G8"/>
  <c r="F8"/>
  <c r="E8"/>
  <c r="R51" i="133"/>
  <c r="R50"/>
  <c r="Q50"/>
  <c r="P50"/>
  <c r="O50"/>
  <c r="N50"/>
  <c r="M50"/>
  <c r="L50"/>
  <c r="K50"/>
  <c r="J50"/>
  <c r="I50"/>
  <c r="H50"/>
  <c r="G50"/>
  <c r="F50"/>
  <c r="E50"/>
  <c r="D50"/>
  <c r="R48"/>
  <c r="Q48"/>
  <c r="R47"/>
  <c r="Q47"/>
  <c r="P47"/>
  <c r="O47"/>
  <c r="N47"/>
  <c r="M47"/>
  <c r="L47"/>
  <c r="K47"/>
  <c r="J47"/>
  <c r="I47"/>
  <c r="H47"/>
  <c r="G47"/>
  <c r="F47"/>
  <c r="E47"/>
  <c r="D47"/>
  <c r="R45"/>
  <c r="Q45"/>
  <c r="R44"/>
  <c r="Q44"/>
  <c r="O44"/>
  <c r="N44"/>
  <c r="M44"/>
  <c r="L44"/>
  <c r="K44"/>
  <c r="J44"/>
  <c r="I44"/>
  <c r="H44"/>
  <c r="G44"/>
  <c r="F44"/>
  <c r="E44"/>
  <c r="D44"/>
  <c r="R43"/>
  <c r="Q43"/>
  <c r="P43"/>
  <c r="O43"/>
  <c r="N43"/>
  <c r="M43"/>
  <c r="L43"/>
  <c r="K43"/>
  <c r="J43"/>
  <c r="I43"/>
  <c r="H43"/>
  <c r="G43"/>
  <c r="F43"/>
  <c r="E43"/>
  <c r="D43"/>
  <c r="R42"/>
  <c r="Q42"/>
  <c r="R41"/>
  <c r="Q41"/>
  <c r="R40"/>
  <c r="Q40"/>
  <c r="P40"/>
  <c r="O40"/>
  <c r="N40"/>
  <c r="M40"/>
  <c r="L40"/>
  <c r="K40"/>
  <c r="J40"/>
  <c r="I40"/>
  <c r="H40"/>
  <c r="G40"/>
  <c r="F40"/>
  <c r="E40"/>
  <c r="D40"/>
  <c r="R38"/>
  <c r="Q38"/>
  <c r="R37"/>
  <c r="Q37"/>
  <c r="P37"/>
  <c r="O37"/>
  <c r="N37"/>
  <c r="M37"/>
  <c r="L37"/>
  <c r="K37"/>
  <c r="J37"/>
  <c r="I37"/>
  <c r="H37"/>
  <c r="G37"/>
  <c r="F37"/>
  <c r="E37"/>
  <c r="D37"/>
  <c r="R34"/>
  <c r="R33"/>
  <c r="Q33"/>
  <c r="P33"/>
  <c r="O33"/>
  <c r="N33"/>
  <c r="M33"/>
  <c r="L33"/>
  <c r="K33"/>
  <c r="J33"/>
  <c r="I33"/>
  <c r="H33"/>
  <c r="G33"/>
  <c r="F33"/>
  <c r="E33"/>
  <c r="D33"/>
  <c r="R32"/>
  <c r="R31"/>
  <c r="Q31"/>
  <c r="R30"/>
  <c r="Q30"/>
  <c r="R29"/>
  <c r="Q29"/>
  <c r="R28"/>
  <c r="Q28"/>
  <c r="R27"/>
  <c r="Q27"/>
  <c r="R26"/>
  <c r="Q26"/>
  <c r="R25"/>
  <c r="Q25"/>
  <c r="R24"/>
  <c r="Q24"/>
  <c r="R23"/>
  <c r="Q23"/>
  <c r="R22"/>
  <c r="Q22"/>
  <c r="R21"/>
  <c r="Q21"/>
  <c r="P21"/>
  <c r="N21"/>
  <c r="M21"/>
  <c r="L21"/>
  <c r="K21"/>
  <c r="J21"/>
  <c r="I21"/>
  <c r="H21"/>
  <c r="G21"/>
  <c r="F21"/>
  <c r="E21"/>
  <c r="D21"/>
  <c r="R20"/>
  <c r="Q20"/>
  <c r="P20"/>
  <c r="O20"/>
  <c r="N20"/>
  <c r="M20"/>
  <c r="L20"/>
  <c r="K20"/>
  <c r="J20"/>
  <c r="I20"/>
  <c r="H20"/>
  <c r="G20"/>
  <c r="F20"/>
  <c r="E20"/>
  <c r="D20"/>
  <c r="R18"/>
  <c r="Q18"/>
  <c r="R17"/>
  <c r="Q17"/>
  <c r="P17"/>
  <c r="O17"/>
  <c r="N17"/>
  <c r="M17"/>
  <c r="L17"/>
  <c r="K17"/>
  <c r="J17"/>
  <c r="I17"/>
  <c r="H17"/>
  <c r="G17"/>
  <c r="F17"/>
  <c r="E17"/>
  <c r="D17"/>
  <c r="R15"/>
  <c r="Q15"/>
  <c r="R14"/>
  <c r="Q14"/>
  <c r="P14"/>
  <c r="O14"/>
  <c r="N14"/>
  <c r="M14"/>
  <c r="L14"/>
  <c r="K14"/>
  <c r="J14"/>
  <c r="I14"/>
  <c r="H14"/>
  <c r="G14"/>
  <c r="F14"/>
  <c r="E14"/>
  <c r="D14"/>
  <c r="Q13"/>
  <c r="R12"/>
  <c r="Q12"/>
  <c r="R11"/>
  <c r="Q11"/>
  <c r="P11"/>
  <c r="O11"/>
  <c r="N11"/>
  <c r="M11"/>
  <c r="L11"/>
  <c r="K11"/>
  <c r="J11"/>
  <c r="I11"/>
  <c r="H11"/>
  <c r="G11"/>
  <c r="F11"/>
  <c r="E11"/>
  <c r="D11"/>
  <c r="R10"/>
  <c r="Q10"/>
  <c r="P10"/>
  <c r="O10"/>
  <c r="N10"/>
  <c r="M10"/>
  <c r="L10"/>
  <c r="K10"/>
  <c r="J10"/>
  <c r="I10"/>
  <c r="H10"/>
  <c r="G10"/>
  <c r="F10"/>
  <c r="E10"/>
  <c r="D10"/>
  <c r="R8"/>
  <c r="Q8"/>
  <c r="P8"/>
  <c r="O8"/>
  <c r="N8"/>
  <c r="M8"/>
  <c r="L8"/>
  <c r="K8"/>
  <c r="J8"/>
  <c r="I8"/>
  <c r="H8"/>
  <c r="G8"/>
  <c r="F8"/>
  <c r="E8"/>
  <c r="D8"/>
  <c r="E20" i="158" l="1"/>
  <c r="C95" i="172"/>
  <c r="C95" i="171"/>
  <c r="L20" i="158"/>
  <c r="H167" i="175"/>
</calcChain>
</file>

<file path=xl/sharedStrings.xml><?xml version="1.0" encoding="utf-8"?>
<sst xmlns="http://schemas.openxmlformats.org/spreadsheetml/2006/main" count="5639" uniqueCount="2735">
  <si>
    <t>PEMERINTAH PROVINSI KEPULAUAN BANGKA BELITUNG</t>
  </si>
  <si>
    <t>REKAPITULASI PENERIMAAN RETRIBUSI DAERAH</t>
  </si>
  <si>
    <t>TAHUN ANGGARAN 2018</t>
  </si>
  <si>
    <t>(dalam Rp)</t>
  </si>
  <si>
    <t>NO</t>
  </si>
  <si>
    <t>JENIS RETRIBUSI</t>
  </si>
  <si>
    <t>DINAS</t>
  </si>
  <si>
    <t>TARGET</t>
  </si>
  <si>
    <t>REALISASI BULAN</t>
  </si>
  <si>
    <t>JUMLAH</t>
  </si>
  <si>
    <t xml:space="preserve">SISA </t>
  </si>
  <si>
    <t>JANUARI</t>
  </si>
  <si>
    <t>FEBRUARI</t>
  </si>
  <si>
    <t>MARET</t>
  </si>
  <si>
    <t>APRIL</t>
  </si>
  <si>
    <t>MEI</t>
  </si>
  <si>
    <t>JUNI</t>
  </si>
  <si>
    <t>JULI</t>
  </si>
  <si>
    <t>AGUSTUS</t>
  </si>
  <si>
    <t>SEPTEMBER</t>
  </si>
  <si>
    <t>OKTOBER</t>
  </si>
  <si>
    <t>NOPEMBER</t>
  </si>
  <si>
    <t>DESEMBER</t>
  </si>
  <si>
    <t>B</t>
  </si>
  <si>
    <t>RETRIBUSI DAERAH</t>
  </si>
  <si>
    <t>I</t>
  </si>
  <si>
    <t xml:space="preserve">Retribusi Jasa Umum </t>
  </si>
  <si>
    <t>Retribusi Pelayanan Kesehatan</t>
  </si>
  <si>
    <t>b</t>
  </si>
  <si>
    <t>Dinas Kesehatan</t>
  </si>
  <si>
    <t>c</t>
  </si>
  <si>
    <t>Dinas Tenaga Kerja dan Transmingrasi</t>
  </si>
  <si>
    <t>Retibusi Tempat Penggantian Biaya Cetak Peta</t>
  </si>
  <si>
    <t>a</t>
  </si>
  <si>
    <t xml:space="preserve">Dinas Energi dan SDM </t>
  </si>
  <si>
    <t>Retribusi Pelayanan Kependidikan</t>
  </si>
  <si>
    <t>Badan Kepegawian dan Pengembangan SDM</t>
  </si>
  <si>
    <t>II</t>
  </si>
  <si>
    <t>Retribusi Jasa Usaha</t>
  </si>
  <si>
    <t>Retribusi Pemakaian Kekayaan Daerah</t>
  </si>
  <si>
    <t>DPU</t>
  </si>
  <si>
    <t>d</t>
  </si>
  <si>
    <t>Setda</t>
  </si>
  <si>
    <t>e</t>
  </si>
  <si>
    <t>Disperindag</t>
  </si>
  <si>
    <t>f</t>
  </si>
  <si>
    <t>DLHD</t>
  </si>
  <si>
    <t>h</t>
  </si>
  <si>
    <t>Disnakertrans</t>
  </si>
  <si>
    <t>i</t>
  </si>
  <si>
    <t>Badan Penghubung</t>
  </si>
  <si>
    <t xml:space="preserve">Dinas Kesehatan </t>
  </si>
  <si>
    <t>Dinas Pertanian, Perkebunan dan Peternakan</t>
  </si>
  <si>
    <t>Dinas  Koperasi</t>
  </si>
  <si>
    <t>j</t>
  </si>
  <si>
    <t>Dinas Kelautan dan Perikanan</t>
  </si>
  <si>
    <t>Retribusi Tempat Penginapan/Pesanggrahan/Villa</t>
  </si>
  <si>
    <t>Retribusi Tempat Rekreasi dan Olahraga</t>
  </si>
  <si>
    <t>Dispora</t>
  </si>
  <si>
    <t>Retribusi Penjualan Produksi Usaha Daerah</t>
  </si>
  <si>
    <t>III</t>
  </si>
  <si>
    <t>Retribusi Perizinan Tertentu</t>
  </si>
  <si>
    <t>Retribusi Izin Trayek</t>
  </si>
  <si>
    <t>BP2TPM</t>
  </si>
  <si>
    <t>Retribusi Izin Usaha Perikanan</t>
  </si>
  <si>
    <t>Retribusi Perpanjangan IMTA</t>
  </si>
  <si>
    <t xml:space="preserve">REKAPITULASI REALISASI BELANJA DANA ALOKASI KHUSUS </t>
  </si>
  <si>
    <t>BIDANG</t>
  </si>
  <si>
    <t>SKPD</t>
  </si>
  <si>
    <t>PAGU</t>
  </si>
  <si>
    <t>PENERIMAAN DARI KEMENKEU</t>
  </si>
  <si>
    <t>REALISASI OLEH SKPD</t>
  </si>
  <si>
    <t>SISA DI KASDA</t>
  </si>
  <si>
    <t>KET</t>
  </si>
  <si>
    <t>6=4-5</t>
  </si>
  <si>
    <t>8=3-7</t>
  </si>
  <si>
    <t>I.</t>
  </si>
  <si>
    <t>DANA ALOKASI REGULER</t>
  </si>
  <si>
    <t>1.</t>
  </si>
  <si>
    <t xml:space="preserve">Pendidikan </t>
  </si>
  <si>
    <t>Dinas Pendidikan</t>
  </si>
  <si>
    <t>2.</t>
  </si>
  <si>
    <t>Kesehatan dan KB</t>
  </si>
  <si>
    <t>3.</t>
  </si>
  <si>
    <t>Kelautan dan Perikanan</t>
  </si>
  <si>
    <t>II.</t>
  </si>
  <si>
    <t>DANA ALOKASI KHUSUS PENUGASAN</t>
  </si>
  <si>
    <t>Pendidikan/SMK</t>
  </si>
  <si>
    <t>RSUD</t>
  </si>
  <si>
    <t>RS.Jiwa</t>
  </si>
  <si>
    <t>Jalan</t>
  </si>
  <si>
    <t>Dinas Pekerjaan Umum</t>
  </si>
  <si>
    <t>4.</t>
  </si>
  <si>
    <t>Irigasi</t>
  </si>
  <si>
    <t>5.</t>
  </si>
  <si>
    <t>Energi Skala Kecil dan Menengah</t>
  </si>
  <si>
    <t>Dinas Koperasi dan UKM</t>
  </si>
  <si>
    <t>6.</t>
  </si>
  <si>
    <t>Lingkungan Hidup dan Kehutanan</t>
  </si>
  <si>
    <t>Dinas Lingkungan Hidup</t>
  </si>
  <si>
    <t>Dinas Kehutanan</t>
  </si>
  <si>
    <t>Jumlah Realisasi DAK Fisik</t>
  </si>
  <si>
    <t>Dana Bantuan Operasional Sekolah (BOS)</t>
  </si>
  <si>
    <t>Tunjangan Profesi Guru</t>
  </si>
  <si>
    <t>Tambahan Penghasilan Guru</t>
  </si>
  <si>
    <t>Bantuan Operasional Kesehatan</t>
  </si>
  <si>
    <t>RSUP</t>
  </si>
  <si>
    <t>Dana Peningkatan Kapsitas Koperasi dan UKM</t>
  </si>
  <si>
    <t>Dana Pelayanan Administrasi Kependudukan</t>
  </si>
  <si>
    <t>DPPPCSPA</t>
  </si>
  <si>
    <t>Jumlah Realisasi DAK Non Fisik</t>
  </si>
  <si>
    <t>Jumlah</t>
  </si>
  <si>
    <t>REKAPITULASI PENERIMAAN DAN PENYALURAN DANA BOS</t>
  </si>
  <si>
    <t>TANGGAL</t>
  </si>
  <si>
    <t>URAIAN</t>
  </si>
  <si>
    <t>PENERIMAAN</t>
  </si>
  <si>
    <t>PENGELUARAN</t>
  </si>
  <si>
    <t>SALDO</t>
  </si>
  <si>
    <t>Saldo Dana Bos TA 2017</t>
  </si>
  <si>
    <t>Pencairan Kurang Salur Dana Bos Triwulan IV TA. 2017 SP2D No. 957/0370/LS/BTL/2018</t>
  </si>
  <si>
    <t>Penerimaan Dana BOS Triwulan I TA 2018</t>
  </si>
  <si>
    <t>Pencairan Dana Bos Triwulan I SP2D No. 957/0663/LS/BTL/2018</t>
  </si>
  <si>
    <t>Pencairan Dana Bos Triwulan I SP2D No. 957/0669/LS/BTL/2018</t>
  </si>
  <si>
    <t>Pencairan Dana Bos Triwulan I SP2D No. 957/0673/LS/BTL/2018</t>
  </si>
  <si>
    <t>Pencairan Dana Bos triwulan I SP2D No. 957/0713/LS/BTL/2018</t>
  </si>
  <si>
    <t>Penerimaan Dana BOS Triwulan II TA 2018</t>
  </si>
  <si>
    <t>Pencairan Dana Bos Triwulan II SP2D No. 957/1828/LS/BTL/2018</t>
  </si>
  <si>
    <t>Pencairan Dana Bos Triwulan II SP2D No. 957/1829/LS/BTL/2018</t>
  </si>
  <si>
    <t>Pencairan Dana Bos Triwulan II SP2D No. 957/1830/LS/BTL/2018</t>
  </si>
  <si>
    <t>Pencairan Dana Bos SP2D No. 957/1831/LS/BTL/2018</t>
  </si>
  <si>
    <t>Penerimaan Dana BOS Triwulan III TA 2018</t>
  </si>
  <si>
    <t>Pencairan Dana Bos Triwulan III SP2D No. 957/3757/LS/BTL/2018</t>
  </si>
  <si>
    <t>Pencairan Dana Bos Triwulan III SP2D No. 957/3770/LS/BTL/2018</t>
  </si>
  <si>
    <t>Pencairan Dana Bos Triwulan III SP2D No. 957/3789/LS/BTL/2018</t>
  </si>
  <si>
    <t>Pencairan Dana Bos Triwulan III SP2D No. 957/3792/LS/BTL/2018</t>
  </si>
  <si>
    <t>Penerimaan Dana BOS Triwulan IV TA 2018</t>
  </si>
  <si>
    <t>Pencairan Dana Bos Triwulan IV SP2D No. 957/5651/LS/BTL/2018</t>
  </si>
  <si>
    <t>Pencairan Dana Bos Triwulan IV SP2D No. 957/5652/LS/BTL/2018</t>
  </si>
  <si>
    <t>Pencairan Dana Bos Triwulan IV SP2D No. 957/5657/LS/BTL/2018</t>
  </si>
  <si>
    <t>Pencairan Dana Bos Triwulan IV SP2D No. 957/5662/LS/BTL/2018</t>
  </si>
  <si>
    <t>Pencairan Kurang Salur Tahun 2017 SP2D No. 957/5969/LS/BTL/2018</t>
  </si>
  <si>
    <t>Rekapitulasi Surat Pertanggungjawaban (SPJ) Pengeluaran Fungsional Satuan Kerja Perangkat Daerah (SKPD)</t>
  </si>
  <si>
    <t>( hasil rekonsiliasi antaraSKPD dengan Bidang Akuntansi dan Pelaporan )</t>
  </si>
  <si>
    <t>No.</t>
  </si>
  <si>
    <t>Nama SKPD</t>
  </si>
  <si>
    <t>UP</t>
  </si>
  <si>
    <t>GU</t>
  </si>
  <si>
    <t>TU</t>
  </si>
  <si>
    <t>LS</t>
  </si>
  <si>
    <t xml:space="preserve">JUMLAH SP2D              </t>
  </si>
  <si>
    <t xml:space="preserve">Realisasi Belanja Berdasarkan SPJ Fungsionalnya </t>
  </si>
  <si>
    <t>Jumlah  SPJ Fungsional</t>
  </si>
  <si>
    <t>SPJ-LS Gaji</t>
  </si>
  <si>
    <t>SPJ-LS Barang dan Jasa</t>
  </si>
  <si>
    <t>SPJ UP/GU/TU</t>
  </si>
  <si>
    <t>DINAS PENDIDIKAN</t>
  </si>
  <si>
    <t>DINAS KESEHATAN</t>
  </si>
  <si>
    <t>RUMAH SAKIT UMUM DAERAH PROVINSI</t>
  </si>
  <si>
    <t>RUMAH SAKIT JIWA</t>
  </si>
  <si>
    <t>DINAS PEKERJAAN UMUM DAN PENATAAN RUANG</t>
  </si>
  <si>
    <t>DINAS PERUMAHAN RAKYAT DAN KAWASAN PERMUKIMAN</t>
  </si>
  <si>
    <t>BADAN PERENCANAAN PEMBANGUNAN DAN PENELITIAN PENGEMBANGAN DAERAH</t>
  </si>
  <si>
    <t>DINAS PERHUBUNGAN</t>
  </si>
  <si>
    <t>DINAS LINGKUNGAN HIDUP DAERAH</t>
  </si>
  <si>
    <t>DINAS PEMBERDAYAAN PEREMPUAN, PERLINDUNGAN ANAK, KEPENDUDUKAN PENCATATAN SIPIL DAN PENGENDALIAN PENDUDUK KELUARGA BERENCANA</t>
  </si>
  <si>
    <t>BADAN  PENANGGULANGAN BENCANA DAERAH</t>
  </si>
  <si>
    <t>DINAS SOSIAL</t>
  </si>
  <si>
    <t>DINAS  TENAGA KERJA</t>
  </si>
  <si>
    <t>DINAS KOPERASI, USAHA KECIL DAN MENENGAH</t>
  </si>
  <si>
    <t>DINAS PENANAMAN MODAL DAN PELAYANAN TERPADU SATU PINTU</t>
  </si>
  <si>
    <t>DINAS KEBUDAYAAN DAN PARIWISATA</t>
  </si>
  <si>
    <t>DINAS KEPEMUDAAN DAN OLAHRAGA</t>
  </si>
  <si>
    <t>BADAN KESATUAN BANGSA DAN POLITIK</t>
  </si>
  <si>
    <t>SATUAN POLISI PAMONG PRAJA</t>
  </si>
  <si>
    <t>DEWAN PERWAKILAN RAKYAT DAERAH</t>
  </si>
  <si>
    <t>KEPALA DAERAH DAN WAKIL KEPALA DAERAH</t>
  </si>
  <si>
    <t>SEKRETARIAT DAERAH</t>
  </si>
  <si>
    <t>SEKRETARIAT DPRD</t>
  </si>
  <si>
    <t>24a</t>
  </si>
  <si>
    <t>BADAN KEUANGAN DAERAH</t>
  </si>
  <si>
    <t>24b</t>
  </si>
  <si>
    <t>PPKD</t>
  </si>
  <si>
    <t>INSPEKTORAT DAERAH</t>
  </si>
  <si>
    <t>BADAN PENGHUBUNG PROVINSI</t>
  </si>
  <si>
    <t>BADAN KEPEGAWAIAN DAN PENGEMBANGAN SUMBER DAYA MANUSIA DAERAH</t>
  </si>
  <si>
    <t>DINAS PANGAN</t>
  </si>
  <si>
    <t>DINAS PEMBERDAYAAN MASYARAKAT DAN DESA</t>
  </si>
  <si>
    <t>DINAS KEARSIPAN DAN PERPUSTAKAAN PROVINSI BANGKA BELITUNG</t>
  </si>
  <si>
    <t>DINAS KOMUNIKASI DAN INFORMATIKA</t>
  </si>
  <si>
    <t>DINAS PERTANIAN</t>
  </si>
  <si>
    <t>DINAS KEHUTANAN</t>
  </si>
  <si>
    <t>DINAS ENERGI DAN SUMBER DAYA MINERAL</t>
  </si>
  <si>
    <t>DINAS KELAUTAN DAN PERIKANAN</t>
  </si>
  <si>
    <t>DINAS PERINDUSTRIAN DAN PERDAGANGAN</t>
  </si>
  <si>
    <t>Total Belanja Daerah</t>
  </si>
  <si>
    <t>RSUP BLUD</t>
  </si>
  <si>
    <t>RSJ BLUD</t>
  </si>
  <si>
    <t>TOTAL</t>
  </si>
  <si>
    <t>PENGEMBALIAN BENDAHARA PENGELUARAN</t>
  </si>
  <si>
    <t>TAHUN 2018</t>
  </si>
  <si>
    <t>NO. BUKTI</t>
  </si>
  <si>
    <t>JENIS SPM</t>
  </si>
  <si>
    <t>NILAI (Rp)</t>
  </si>
  <si>
    <t>378841926</t>
  </si>
  <si>
    <t>Langsung (LS)</t>
  </si>
  <si>
    <t>SETORAN KELEBIHAN TUNJANGAN ESELON ii BULAN jANUARI 2018</t>
  </si>
  <si>
    <t>03/CP-HUBPROV/2018</t>
  </si>
  <si>
    <t>Ganti Uang Persediaan (GU)</t>
  </si>
  <si>
    <t>Pengembalian uang sppd luar daerah a/n Dwi Warastuti tgl 23 Januari 2018</t>
  </si>
  <si>
    <t>02/CP-HUBPROV/2018</t>
  </si>
  <si>
    <t>PENGEMBALIAN SPPD DALAM DAERAH AN SINTA MURNIATI</t>
  </si>
  <si>
    <t>01/CP-HUBPROV/2018</t>
  </si>
  <si>
    <t>PENGEMBALIAN BELANJA TUNJANGAN FUNGSIONAL</t>
  </si>
  <si>
    <t>01/CP/DIKNAS/2018</t>
  </si>
  <si>
    <t>PENGEMBALIAN TUNJANGAN SUAMI DAN ANAK AN. YENI (SMA 1 SIMPANG RIMBA) JANUARI - FEBRUARI 2018</t>
  </si>
  <si>
    <t>02/CP/DIKNAS/2018</t>
  </si>
  <si>
    <t>Pengembalian Tunjangan Struktural bln Maret 2018 an Drs. Taufik</t>
  </si>
  <si>
    <t>000010837759580</t>
  </si>
  <si>
    <t>PENGEMBALIAN TUNJANGAN FUNGSIONAL AN. WB ANDRIKA GAJI BULAN APRIL 2018</t>
  </si>
  <si>
    <t>01/CP/SEKDA-B.ORGANISASI/2018</t>
  </si>
  <si>
    <t>Kelebihan bayar moderator an. Wardati</t>
  </si>
  <si>
    <t>02/CP/SEKDA-B.ORGANISASI/2018</t>
  </si>
  <si>
    <t>Kelebihan bayar moderator atas nama Shintia M</t>
  </si>
  <si>
    <t>00001481767050</t>
  </si>
  <si>
    <t>pengembalian kelebihan pembayaran tunjangan jabatan bulan April 2018 an Basri</t>
  </si>
  <si>
    <t>000011790514229</t>
  </si>
  <si>
    <t>PENGEMBALIAN KELEBIHAN PEMBAYARAN TUNJANGAN STRUKTURAL AN. ZULPIKAR BULAN APRIL 2018</t>
  </si>
  <si>
    <t>01/CP/BIROUMUM-SEKDA/2018</t>
  </si>
  <si>
    <t>PENGEMBALIAN PERJADIN AN. SRI INDINA GAUS</t>
  </si>
  <si>
    <t>01/CP/DPMPTSP/2018</t>
  </si>
  <si>
    <t>pengembalian tunjangan struktural an. zulpikar</t>
  </si>
  <si>
    <t>02/CP/BIROUMUM-SEKDA/2018</t>
  </si>
  <si>
    <t>PENGEMBALIAN BIAYA PERJADIN AN. SATRIA PUJA KUSUMA</t>
  </si>
  <si>
    <t>03/CP.ESDM/2018</t>
  </si>
  <si>
    <t>Pengembalian Perjalanan dinas an Reskiansyah 16 januari 2018</t>
  </si>
  <si>
    <t>04/CP.ESDM/2018</t>
  </si>
  <si>
    <t>Pengembalian Tunjangan jabatan an. Zaidar, ST</t>
  </si>
  <si>
    <t>05/CP.ESDM/2018</t>
  </si>
  <si>
    <t>Pengembalian Tunjangan Funsional an. Fery Hardianto, ST</t>
  </si>
  <si>
    <t>0001/CP/DISKEPORA/2018</t>
  </si>
  <si>
    <t>Pengembalian Uang Kelebihan Pembayaran Kegiatan Belanja Makanan dan Minum Kegiatan Pemberdayaan Peran Serta Pemuda (Pertukaran Pemuda Antar Negara)</t>
  </si>
  <si>
    <t>0001/Pengembalian/Bakuda/2018</t>
  </si>
  <si>
    <t>Pengembalian Honorarium</t>
  </si>
  <si>
    <t>06/cp/dishut/2018</t>
  </si>
  <si>
    <t>Kelebihan Tunjangan Jabatan Bulan Mei 2018</t>
  </si>
  <si>
    <t>02/CP/DPMPTSP/2018</t>
  </si>
  <si>
    <t>pengembalian tunjangan struktural an. Hidayat, SH</t>
  </si>
  <si>
    <t>00002/CP/DISKEPORA/2018</t>
  </si>
  <si>
    <t>Pengembalian kelebihan pembayaran perjadin dalam daerah ke babar tanggal 30/05/2018 an. Marzani tanjung,SE</t>
  </si>
  <si>
    <t>06/CP.ESDM/2018</t>
  </si>
  <si>
    <t>Pengembalian TPP &amp; UM bln April 2018 an Sulisnawati</t>
  </si>
  <si>
    <t>07/CP.ESDM/2018</t>
  </si>
  <si>
    <t>Pengembalian TPP &amp; UM bln April 2018 an Paisol Hendi</t>
  </si>
  <si>
    <t>06/CP/KESBANGPOL/2018</t>
  </si>
  <si>
    <t>pengembalian honor tim kegiatan</t>
  </si>
  <si>
    <t>01/CP/DISNAKER/2018</t>
  </si>
  <si>
    <t>Pengembalian uang SPPD Luar Daerah Atas Nama Rolly Dwi Candra</t>
  </si>
  <si>
    <t>02/CP/DISNAKER/2018</t>
  </si>
  <si>
    <t>Contra Post Kelebihan Makan Minum Rapat Kegiatan Pelayanan Administrasi Perkantoran</t>
  </si>
  <si>
    <t>02/CP/SEKDA/2018</t>
  </si>
  <si>
    <t>PENGEMBALIAN GAJI BULAN JULI AN. DAVID KASIDI BIRO EKONOMI</t>
  </si>
  <si>
    <t>03/CP/DIKNAS/2018</t>
  </si>
  <si>
    <t>pemgembalian kelebihan gaji ke 13 an Solihayati</t>
  </si>
  <si>
    <t>04/CP/DIKNAS/2018</t>
  </si>
  <si>
    <t>pengembalian TPP an Rahmad Dalu</t>
  </si>
  <si>
    <t>05/CP/DIKNAS/2018</t>
  </si>
  <si>
    <t>06/CP/DIKNAS/2018</t>
  </si>
  <si>
    <t>03/CP/B.PEMBANGUNAN-SEKDA/2018</t>
  </si>
  <si>
    <t>PENGEMBALIAN HONOR PPTK AN. FERAWATI</t>
  </si>
  <si>
    <t>08/CP/DIKNAS/2018</t>
  </si>
  <si>
    <t>pengembalian TPP an Siswadi</t>
  </si>
  <si>
    <t>03/CP/BIROUMUM-SEKDA/2018</t>
  </si>
  <si>
    <t>PENGEMBALIAN HONORARIUM PENGELOLAAN KEUANGAN DAERAH</t>
  </si>
  <si>
    <t>01/CP/B.LAYANANPENGADAAN-SEKDA/2018</t>
  </si>
  <si>
    <t>PENGEMBALIAN KELEBIHAN PERJADIN AN. FIRDAUS ALAMSYAH,ST KEG. FUNGSI LPSE TA 2018</t>
  </si>
  <si>
    <t>01/CP/B.PEMBANGUNAN-SEKDA/2018</t>
  </si>
  <si>
    <t>PENGEMBALIAN BELANJA SEWA KAMAR HOTEL NARASUMBER AN. IR. DJATMIKO.W</t>
  </si>
  <si>
    <t>02/cp/dinkes/2018</t>
  </si>
  <si>
    <t>pengembalian kelebihan pembayaran TTP BBK bulan feb-april 2018 an. Qonnah</t>
  </si>
  <si>
    <t>07/CP/DIKNAS/2018</t>
  </si>
  <si>
    <t>pengembalian TPP an Adi Zahriadi</t>
  </si>
  <si>
    <t>09/cp/dishut/2018</t>
  </si>
  <si>
    <t>kelebihan pembayaran tunjangan jabatan bulan mei dinas kehutanan an. zikri</t>
  </si>
  <si>
    <t>10/CP/DISHUT/2018</t>
  </si>
  <si>
    <t>kelebihan pembayaran tunjangan  jabatan bulan mei an. jasmani</t>
  </si>
  <si>
    <t>01/CP/SEKDA/2018</t>
  </si>
  <si>
    <t>PENGEMBALIAN KELEBIHAN TUNJANGAN ANAK AN. GUSTOMO</t>
  </si>
  <si>
    <t>05/CP/SEKDA/2018</t>
  </si>
  <si>
    <t>pengembalian kelebihan tunjangananak an. Gustomo</t>
  </si>
  <si>
    <t>08/CP.ESDM/2018</t>
  </si>
  <si>
    <t>Pengembalian Tunj. Jabatan an Zaidar, ST</t>
  </si>
  <si>
    <t>04/CP/BIROUMUM-SEKDA/2018</t>
  </si>
  <si>
    <t>PENGEMBALIAN PERJADIN DALAM DAERAH AN. NIKE YUNITA</t>
  </si>
  <si>
    <t>05/CP/BIROUMUM-SEKDA/2018</t>
  </si>
  <si>
    <t>PENGEMBALIAN PERJADIN DALAM DAERAH AN. ZULFITRANI</t>
  </si>
  <si>
    <t>02/cp/KUMKM/2018</t>
  </si>
  <si>
    <t>Pengembalian Perjalanan dinas luar daerah an. Minggus Hardika</t>
  </si>
  <si>
    <t>03/CP/DISNAKER/2018</t>
  </si>
  <si>
    <t>Contra Post Belanja Cetak Atas Kegiatan Pelayanan Administrasi Perkantoran</t>
  </si>
  <si>
    <t>01/cp/dlh/2018</t>
  </si>
  <si>
    <t>pengembalian kelebihan honorarium pengurus barang &amp; pembantu pengurus barang pada DLH</t>
  </si>
  <si>
    <t>09/CP/DIKNAS/2018</t>
  </si>
  <si>
    <t>PENGEMBALIAN GAJI SMAN 1 LEPAR PONGOK AN ARSAD, SE PADA DINAS PENDIDIKAN</t>
  </si>
  <si>
    <t>0003/Pengembalian/Bakuda/2018</t>
  </si>
  <si>
    <t>pengembalian double input an. Andrey Iwasko keg. Samling bulan juni</t>
  </si>
  <si>
    <t>01/cp/disbudpar/2018</t>
  </si>
  <si>
    <t>pengembalian belanja perjalanan dinas dalam daerah keg. pelatihan pengembangan indutri ekonomi kreatif TA 2018</t>
  </si>
  <si>
    <t>01/CP/SATPOLPP/2018</t>
  </si>
  <si>
    <t>Pengembalian kelebihan perjalanan dinas TA.2018</t>
  </si>
  <si>
    <t>01/CP/DPMD/2018</t>
  </si>
  <si>
    <t>PENGEMBALIAN KELEBIHAN TRANSPORTASI PESERTA REVOLUSI MENTAL KEGIATAN PENINGKATAN KAPASITAS PERANGKAT DAERAH PROGRAM PEMBINAAN PEMERINTAH DESA</t>
  </si>
  <si>
    <t>01/CP/B.EKONOMI-SEKDA/2018</t>
  </si>
  <si>
    <t>PENGEMBALIAN BIAYA PERJADIN KEG. PENYERTAAN MODAL</t>
  </si>
  <si>
    <t>02/CP/B.PEMBANGUNAN-SEKDA/2018</t>
  </si>
  <si>
    <t>PENGEMBALIAN HONOR NARASUMBER AN. HARIS BUDIANTO</t>
  </si>
  <si>
    <t>03/CP/SEKDA/2018</t>
  </si>
  <si>
    <t>PENGEMBALIAN KELEBIHAN PEMBAYARAN TUNJANGAN ISTRI AN. TRI MUHARMAN BIRO HUKUM</t>
  </si>
  <si>
    <t>01/CP/DINASPANGAN/2018</t>
  </si>
  <si>
    <t>KELEBIHAN PEMBAYARAN PENGINAPAN UANG HARIAN KEGIATAN PAP 2018 DINAS PANGAN</t>
  </si>
  <si>
    <t>02/CP/DINASPANGAN/2018</t>
  </si>
  <si>
    <t>KELEBIHAN BIAYA PENGINAPAN KEGIATAN CAD PANGAN 2018 DINAS PANGAN</t>
  </si>
  <si>
    <t>03/CP/DINASPANGAN/2018</t>
  </si>
  <si>
    <t>PEMBAYARAN KELEBIHAN BIAYA PENGINAPAN KEGIATAN RKPD DINAS PANGAN</t>
  </si>
  <si>
    <t>04/CP/DINASPANGAN/2018</t>
  </si>
  <si>
    <t>KELEBIHAN PEMBAYARAN PENGINAPAN KEGIATAN PENGENDALIAN DISTRIBUSI PANGAN 2018 DINAS PANGAN</t>
  </si>
  <si>
    <t>01/cp/dishub/2018</t>
  </si>
  <si>
    <t>Pengembalian uang tes potensi akademik dan psikotes 2 org keg STTD</t>
  </si>
  <si>
    <t>02/cp/dlh/2018</t>
  </si>
  <si>
    <t>pembayaran kelebihan pembayaran tunjangan fungsional umumbulan oktober 2018</t>
  </si>
  <si>
    <t>01/CP/SMAN3PKP/2018</t>
  </si>
  <si>
    <t>PENGEMBALIAN BELANJA TELEPON SMAN 3 PANGKALPINANG TA 2018</t>
  </si>
  <si>
    <t>16/CP-HUBPROV/2018</t>
  </si>
  <si>
    <t>Pengembalian sppd dalam daerah an. Ardiansyah</t>
  </si>
  <si>
    <t>17/CP-HUBPROV/2018</t>
  </si>
  <si>
    <t>Pengembalian SPPD dalam daerah an. Ristia</t>
  </si>
  <si>
    <t>18/CP-HUBPROV/2018</t>
  </si>
  <si>
    <t>Pengembalian SPPD dalam daerah an. Shinta Murniarti</t>
  </si>
  <si>
    <t>19/CP-HUBPROV/2018</t>
  </si>
  <si>
    <t>Pengembalian SPPD dalam daerah an. Muliana</t>
  </si>
  <si>
    <t>0002/CONTRAPOST/B.PEMERINTAHAN/2018</t>
  </si>
  <si>
    <t>PENGEMBALIAN KELEBIHAN PEMBAYARAN KEG. PENGEMBANGAN KESEPAKATAN DAN PERJANJIAN KERJASAMA TA 2018</t>
  </si>
  <si>
    <t>01/CP/DISPERINDAG/2018</t>
  </si>
  <si>
    <t>pengembalian gaji an. Zettira Amalia Zainudin, S.Si</t>
  </si>
  <si>
    <t>14/CP-HUBPROV/2018</t>
  </si>
  <si>
    <t>Pengembalian SPPD dalam Daerah an. Siti Suhaidah</t>
  </si>
  <si>
    <t>01/cp/dinkes/2018</t>
  </si>
  <si>
    <t>pengembalian kelebihan pembayaran honorarium PPTK bulan Feb-April 2018</t>
  </si>
  <si>
    <t>02/cp/disbudpar/2018</t>
  </si>
  <si>
    <t>Kelebihan pembayaran uang transportasi</t>
  </si>
  <si>
    <t>03/cp/disbudpar/2018</t>
  </si>
  <si>
    <t>Kelebihan perjalanan dinas an. Zuardi ke Jakarta</t>
  </si>
  <si>
    <t>04/cp/disbudpar/2018</t>
  </si>
  <si>
    <t>Kelebihan pembayaran biaya lumsum keg perjalanan dinas luar daerah an. Rafiq Elzan</t>
  </si>
  <si>
    <t>05/cp/disbudpar/2018</t>
  </si>
  <si>
    <t>kelebihan uang transortasi pesawat ke jakarta an. Anugrah Gustia Prima</t>
  </si>
  <si>
    <t>06/cp/disbudpar/2018</t>
  </si>
  <si>
    <t>Kelebihan pembayaran belanja pakaian seragam panitia keg. partisipasi dan penghargaan serta kerjasama dibidang budaya</t>
  </si>
  <si>
    <t>01/CP/PPKD/2018</t>
  </si>
  <si>
    <t>Penerimaan setoran pengembalian dana hibah pembangunan mushola Baitul Makmur TA 2018</t>
  </si>
  <si>
    <t>15/CP-HUBPROV/2018</t>
  </si>
  <si>
    <t>pengembalian perjadin luar daerah an.shinta keg. pelayanan adm perkantoran</t>
  </si>
  <si>
    <t>01/CP/B.HUMASPROTOKOL-SEKDA/2018</t>
  </si>
  <si>
    <t>PENGEMBALIAN KELEBIHAN BELANJA CETAK PAPER BAG</t>
  </si>
  <si>
    <t>02/CP/B.HUMASPROTOKOL-SEKDA/2018</t>
  </si>
  <si>
    <t>PENGEMBALIAN BELANJA CETAK SPANDUK BALEHO</t>
  </si>
  <si>
    <t>06/CP/BIROUMUM-SEKDA/2018</t>
  </si>
  <si>
    <t>PENGEMBALIAN MAKAN MINUM TAMU</t>
  </si>
  <si>
    <t>09/CP.ESDM/2018</t>
  </si>
  <si>
    <t>Pengembalian uang perjln. dinas an. Erpan Muchtadi, ST</t>
  </si>
  <si>
    <t>03/CP/B.HUMASPROTOKOL-SEKDA/2018</t>
  </si>
  <si>
    <t>PENGEMBALIAN KELEBIHAN BELANJA CETAK</t>
  </si>
  <si>
    <t>Pengembalian Pemasangan Partisi Ruang Kerja atas Keg. Peningkatan Sarpras Aparatur</t>
  </si>
  <si>
    <t>04/CP/SEKDA/2018</t>
  </si>
  <si>
    <t>PENGEMBALIAN KELEBIHAN TUNJANGAN ANAK AN. LINER SIMAREMARE BIRO PEMERINTAHAN</t>
  </si>
  <si>
    <t>12/CP-HUBPROV/2018</t>
  </si>
  <si>
    <t>Pengembalian SPPD dalam daerah an. Hastin Juli Vasti</t>
  </si>
  <si>
    <t>13/CP-HUBPROV/2018</t>
  </si>
  <si>
    <t>Pengembalian SPPD dalam daerah an. Yuni Susita Dewi</t>
  </si>
  <si>
    <t>11/CP-HUBPROV/2018</t>
  </si>
  <si>
    <t>Pengembalian SPPd luar daerah an. Ardiansyah</t>
  </si>
  <si>
    <t>04/CP/B.HUMASPROTOKOL-SEKDA/2018</t>
  </si>
  <si>
    <t>pengembalian kelebihan pembayaran belanja paket meeting full day rakor tahun 2018</t>
  </si>
  <si>
    <t>10/CP-HUBPROV/2018</t>
  </si>
  <si>
    <t>Pengembalian SPPd an. Mauliana</t>
  </si>
  <si>
    <t>002/CP/KESBANGPOL/2018</t>
  </si>
  <si>
    <t>BELANJA PERJALANAN DINAS LUAR DAERAH PROGRAM PENGUATAN KEWASPADAAN NASIONAL PENYELENGGARAAN PENANGANAN KONFLIK SOSIAL</t>
  </si>
  <si>
    <t>01/CP/KESBANGPOL/2018</t>
  </si>
  <si>
    <t>PENGEMBALIAN TAMBAHAN PENGHASILAN BERDASARKAN PERTIMBANGAN OBJEK LAINNYA</t>
  </si>
  <si>
    <t>03/CP/KESBANGPOL/2018</t>
  </si>
  <si>
    <t>BELANJA ALAT TULIS KANTOR KEG PENYELENGGARAAN KONFLIK SOSIAL</t>
  </si>
  <si>
    <t>04/CP/KESBANGPOL/2018</t>
  </si>
  <si>
    <t>PENGEMBALIAN BELANJA PENGGANDAAN KEGIATAN PENYELENGGARAAN PENANGANAN KONFLIK SOSIAL</t>
  </si>
  <si>
    <t>05/CP/KESBANGPOL/2018</t>
  </si>
  <si>
    <t>HONORARIUM PANITIA PELAKSANA KEGIATAN</t>
  </si>
  <si>
    <t>01/cp/pertanian/2018</t>
  </si>
  <si>
    <t>pengembalian TPP ke 13 an. lutfiana</t>
  </si>
  <si>
    <t>0007/Pengembalian/Bakuda/2018</t>
  </si>
  <si>
    <t>Pengembalian kelebihan pembayaran honorarium PPTK. evaluasi Raperda kab/kota dan Bupati/Walikota tentang pertanggungjawaban APBD TA.2018</t>
  </si>
  <si>
    <t>06/CP/SEKDA/2018</t>
  </si>
  <si>
    <t>pengembalian kelebihan tunjangan istri an. Tri Muharman</t>
  </si>
  <si>
    <t>09/CP-HUBPROV/2018</t>
  </si>
  <si>
    <t>01/CP/DISKOMINFO/2018</t>
  </si>
  <si>
    <t>BELANJA JASA SERVICE PERALATAN DAN PERLENGKAPAN KANTOR</t>
  </si>
  <si>
    <t>02/CP/DISKOMINFO/2018</t>
  </si>
  <si>
    <t>PENGEMBALIAN BELANJA PERJADIN LUAR DAERAH</t>
  </si>
  <si>
    <t>03/CP/DPMPTSP/2018</t>
  </si>
  <si>
    <t>PENGEMBALIAN TUNJANGAN STRUKTURAL AN. IR. CITA RETNO WULANDARI BULAN NOVEMBER 2018</t>
  </si>
  <si>
    <t>04/CP/DPMPTSP/2018</t>
  </si>
  <si>
    <t>PENGEMBALIAN TUNJANGAN STRUKTURAL AN. IMAN HIDAYAT, SH BULAN JULI SD AGUSTUS 2018</t>
  </si>
  <si>
    <t>07/cp/dinkes/2018</t>
  </si>
  <si>
    <t>kelebihan pembayaran uang saku</t>
  </si>
  <si>
    <t>01/CP/DP3AKPSKB/2018</t>
  </si>
  <si>
    <t>PENGEMBALIAN PERJADIN LUAR DAERAH AN. ALDINO</t>
  </si>
  <si>
    <t>02/CP/DP3AKPSKB/2018</t>
  </si>
  <si>
    <t>PENGEMBALIAN PERJADIN LUAR DAERAH AN. YULIANDI</t>
  </si>
  <si>
    <t>08/CP-HUBPROV/2018</t>
  </si>
  <si>
    <t>pengembalian sppd dalam daerah an. Tia gartika Ediawati</t>
  </si>
  <si>
    <t>02/CP/PPKD/2018</t>
  </si>
  <si>
    <t>Penerimaan setoran pengembalian dana hibah TA.2018 an. Badan Wakap Indonesia Perwakian Babel</t>
  </si>
  <si>
    <t>03/cp/KUMKM/2018</t>
  </si>
  <si>
    <t>Nihil</t>
  </si>
  <si>
    <t>Pengembalian Belanja Cetak Kegiatan Pengembangan, Penguatan dan Perlindungan Koperasi</t>
  </si>
  <si>
    <t>10/CP/DIKNAS/2018</t>
  </si>
  <si>
    <t>PENGEMBALIAN BELANJA SEWA KAMAR HOTEL KEGIATAN DINAS PENDIDIKAN</t>
  </si>
  <si>
    <t>0006/Pengembalian/Bakuda/2018</t>
  </si>
  <si>
    <t>pengembalian insentif UP Tw.III UPT Belitung Rp. 176.667, UPT Beltim Rp.132.768, UPT Bangka Rp. 270.800,</t>
  </si>
  <si>
    <t>02/CP/DPMD/2018</t>
  </si>
  <si>
    <t>pengembalian kelebihan pembayaran honorarium keg. pembangunan kawasan pedesan TA.2018</t>
  </si>
  <si>
    <t>03/CP/DPMD/2018</t>
  </si>
  <si>
    <t>pengembalian kelebihan pembayaran honorarium keg. peningkatan pengembangan perencanaan pelaporan evaluasi pendpatan inormasi serta keuanagn perangkat daerah TA.2018</t>
  </si>
  <si>
    <t>04/CP/DPMD/2018</t>
  </si>
  <si>
    <t>Pengembalian kelebihan pembayaran honorarium keg. peningkatan kapasitas perangkat desa TA.2018</t>
  </si>
  <si>
    <t>04/CP/INSPEKTORAT/2018</t>
  </si>
  <si>
    <t>PENGEMBALIAN KELEBIHAN PERJADIN LUAR DAERAH</t>
  </si>
  <si>
    <t>03/cp/dinkes/2018</t>
  </si>
  <si>
    <t>kelebihan pembayaran honorarium PPTK dan staf bulan januari s.d maret atas keg peningkatan sarana dan prasarana aparatur</t>
  </si>
  <si>
    <t>06/CP-HUBPROV/2018</t>
  </si>
  <si>
    <t>PENGEMBALIAN SPPD DALAM DAERAH KEG. PENINGKATAN KAPASITAS SUMBER DAYA APARATUR</t>
  </si>
  <si>
    <t>07/CP-HUBPROV/2018</t>
  </si>
  <si>
    <t>pengembalian sppd dalam daerah keg. peningkatan kapasitas sumber daya aparatur an. deden supriyadi</t>
  </si>
  <si>
    <t>07/CP/DISPERINDAG/201</t>
  </si>
  <si>
    <t>Pengembalian TPP bulan november 2018 an. Aula Dedy Sayogo</t>
  </si>
  <si>
    <t>08/CP/DISPERINDAG/2018</t>
  </si>
  <si>
    <t>Pengembalian uang makan bulan november 2018 an. Aula Dedy Sayogo</t>
  </si>
  <si>
    <t>0002/pengembalian/bakuda/2018</t>
  </si>
  <si>
    <t>pengembalian honorarium panpel penyusunan rancangan perda ttg pertanggungjawaban</t>
  </si>
  <si>
    <t>01/CP/SETWAN/2018</t>
  </si>
  <si>
    <t>PENGEMBALIAN KELEBIHAN INPUT KEG. SARANA DAN PRASARANA</t>
  </si>
  <si>
    <t>02/CP/SETWAN/2018</t>
  </si>
  <si>
    <t>PENGEMBALIAN KELEBIHAN BELANJA KEG. SARANA DAN PRASARANA</t>
  </si>
  <si>
    <t>03/cp/DP3AKPSKB/2018</t>
  </si>
  <si>
    <t>p[engembalian honorarium an. martina</t>
  </si>
  <si>
    <t>03/CP/PPKD/2018</t>
  </si>
  <si>
    <t>Penerimaan setoran pengembalian belanja hibah an. Panti Asuhan Muhammadiyah Bangka Barat</t>
  </si>
  <si>
    <t>04/cp/DP3AKPSKB/2018</t>
  </si>
  <si>
    <t>pengembalian honorarium an. ida adriza</t>
  </si>
  <si>
    <t>05/cp/DP3AKPSKB/2018</t>
  </si>
  <si>
    <t>06/DP3AKPSKB/2018</t>
  </si>
  <si>
    <t>pengembalian honorarium an, martina</t>
  </si>
  <si>
    <t>07/DP3AKPSKB/2018</t>
  </si>
  <si>
    <t>pengembalian honorarium an. martina</t>
  </si>
  <si>
    <t>08/DP3AKPSKB/2018</t>
  </si>
  <si>
    <t>Pengembalian honorarium an. amrullah</t>
  </si>
  <si>
    <t>09/cp/DP3AKPSKB/2018</t>
  </si>
  <si>
    <t>10/cp/DP3AKPSKB/2018</t>
  </si>
  <si>
    <t>Pengembalian honorarium an. martina</t>
  </si>
  <si>
    <t>04/CP-HUBPROV/2018</t>
  </si>
  <si>
    <t>04/cp/dinkes/2018</t>
  </si>
  <si>
    <t>kelebihan belanja sewa ruang rapat/pertemuan keg pel kesehatan jiwa</t>
  </si>
  <si>
    <t>05/CP-HUBPROV/2018</t>
  </si>
  <si>
    <t>05/cp/dinkes/208</t>
  </si>
  <si>
    <t>kelebihan belanja perjadin dalam daerah keg peningkatan pencegahan penyakit menular lainnya</t>
  </si>
  <si>
    <t>03/cp/pertanian/2018</t>
  </si>
  <si>
    <t>pengembalian kelebihan uang makan minum keg pengawalan bimtek dan pengolahan limbah ternak sapi</t>
  </si>
  <si>
    <t>02/CP/DISPERINDAG/2018</t>
  </si>
  <si>
    <t>PENGEMBALIAN KELEBIHAN PEMBAYARAN HOHRARIUM  TIM KEGIATAN PENYUSUNAN RENJA PD 2019</t>
  </si>
  <si>
    <t>03/CP/DISPERINDAG/2018</t>
  </si>
  <si>
    <t>PENGEMBALIAN KELEBIHAN PEMBAYARAN HONORARIUM PANITIA PELAKSANA KEGIATAN</t>
  </si>
  <si>
    <t>04/CP/DISPERINDAG/2018</t>
  </si>
  <si>
    <t>04/CP/PPKD/2018</t>
  </si>
  <si>
    <t>Penerimaan setoran pengembalian dana hibah</t>
  </si>
  <si>
    <t>05/CP/DISPERINDAG/2018</t>
  </si>
  <si>
    <t>PENGEMBALIAN KELEBIHAN PEMBAYARAN SPPD PERJALANAN DINAS DALAM DAERAH</t>
  </si>
  <si>
    <t>06/CP/DISPERINDAG/2018</t>
  </si>
  <si>
    <t>PENGEMBALIAN KELEBIHAN PEMBAYARAN TUNJANGAN ANAK A.N ANIMAH, S.H. NIP. 19630623 198603 2 004</t>
  </si>
  <si>
    <t>02/CP/B.EKONOMI-SEKDA/2018</t>
  </si>
  <si>
    <t>PENGEMBALIAN PERJADIN DALAM DAERAH KEG. FORUM PENGEMBANGAN EKONOMI TA.2018</t>
  </si>
  <si>
    <t>03/CP/B.EKONOMI-SEKDA/2018</t>
  </si>
  <si>
    <t>PENGEMBALIAN PERJADIN LUAR DAERAH KEG. FORUM PENGEMBANGAN EKONOMI TA.2018</t>
  </si>
  <si>
    <t>0008/Pengembalian/Bakuda/2018</t>
  </si>
  <si>
    <t>Pengembalian Upah Pungut TW 3 UPT Basel</t>
  </si>
  <si>
    <t>0009/Pengembalian/Bakuda/2018</t>
  </si>
  <si>
    <t>pegembalian honoraium pengelola kegiatan penyusunan laporan keuangan semesteran TA.2018</t>
  </si>
  <si>
    <t>0010/Pengembalian/Bakuda/2018</t>
  </si>
  <si>
    <t>pengembalian kelebihan pembayaran honorarium moderator keg. rakor penyusunan LK Prov. Babel TA.2018 An. Bambang Irwanto, Syahrudin Rahmad, Asrodi dan Takdir</t>
  </si>
  <si>
    <t>03/CP/SEKDA-B.ORGANISASI/2018</t>
  </si>
  <si>
    <t>PENGEMBALIAN PEMBAYARAN HONORARIUM</t>
  </si>
  <si>
    <t>05/CP/PPKD/2018</t>
  </si>
  <si>
    <t>Penerimaan setoran pengembalian dana hibah an. Baznaz Babel</t>
  </si>
  <si>
    <t>11/CP/Dishut/2018</t>
  </si>
  <si>
    <t>pengembalian belanja peralatan kebersihan keg KPHP</t>
  </si>
  <si>
    <t>12/cp/dishut/2018</t>
  </si>
  <si>
    <t>pembayaran pengembalian belanja alat listrik dan elektronik keg KPH belanto mendanau</t>
  </si>
  <si>
    <t>01/CP/INSPEKTORAT/2018</t>
  </si>
  <si>
    <t>PENGEMBALIAN KELEBIHAN UANG HONORARIUM TPTGR PLT KABID ANGGARAN</t>
  </si>
  <si>
    <t>01/CP/RSUP/2018</t>
  </si>
  <si>
    <t>KELEBIHAN BAYAR BELANJA BAHAN KIMIA PROGRAM LABORATORIUM KEGIATAN BELANJA BAHAN KIMIA</t>
  </si>
  <si>
    <t>02/CP/INSPEKTORAT/2018</t>
  </si>
  <si>
    <t>PENGEMBALIAN UANG PERJADIN LUAR DAERAH (HOTEL)KE SEMARANG AN. YUNIZAR</t>
  </si>
  <si>
    <t>02/cp/pertanian/2018</t>
  </si>
  <si>
    <t>pengembalian perjadin luar daerah an. Erwin dan Hendra keg pelayanan adm. perkantoran</t>
  </si>
  <si>
    <t>03/CP/DISKOMINFO/2018</t>
  </si>
  <si>
    <t>PENGEMBALIAN TUNJANGAN KELUARGA A.N HANAFI</t>
  </si>
  <si>
    <t>03/CP/INSPEKTORAT/2018</t>
  </si>
  <si>
    <t>PENGEMBALIAN UANG PERJADIN GAK KE JAKARTA DOUBLE INPUT</t>
  </si>
  <si>
    <t>06/CP/INSPEKTORAT/2018</t>
  </si>
  <si>
    <t>PENGEMBALIAN KELEBIHAN PEMBAYARAN UANG KELANGKAAN PROFESI A.N EDDY PURWANTO</t>
  </si>
  <si>
    <t>0003/CP/DISKEPORA/2018</t>
  </si>
  <si>
    <t>Pengembalian Kelebihan Belanja Honorarium Panitia Pelaksana Kegiatan Pada Kegiatan Pengadaan Sarana Kepemudaan dan Olahraga</t>
  </si>
  <si>
    <t>0004/CP/DISKEPORA/2018</t>
  </si>
  <si>
    <t>Pengembalian Kelebihan Pembayaran Belanja Perlengkapan Peserta Kegiatan Peningkatan Disiplin Aparatur (Setelan PDH Coklat, Setelan Baju Putih)</t>
  </si>
  <si>
    <t>0011/Pengembalian/Bakuda/2018</t>
  </si>
  <si>
    <t>Pengembalian kelebihan pembayaran GU SPPD an. Efendi Harun</t>
  </si>
  <si>
    <t>02/CP/B.HUKUM-SEKDA/2018</t>
  </si>
  <si>
    <t>PENGEMBALIAN KELEBIHAN BAYAR JASA TRANSAKSI KEUANGAN</t>
  </si>
  <si>
    <t>04/CP/B.EKONOMI-SEKDA/2018</t>
  </si>
  <si>
    <t>PENGEMBALIAN SPPD AN. SUHADA</t>
  </si>
  <si>
    <t>05/CP/B.EKONOMI-SEKDA/2018</t>
  </si>
  <si>
    <t>PENGEMBALIAN KELEBIHAN SPPD AN. ELLIANI</t>
  </si>
  <si>
    <t>05/CP/DPMD/2018</t>
  </si>
  <si>
    <t>pengembalian klebihan honorarium keg. pemberdayaan masyarakat</t>
  </si>
  <si>
    <t>05/CP/INSPEKTORAT/2018</t>
  </si>
  <si>
    <t>PENGEMBALIAN PEMBAYARAN KELEBIHAN UANG PEMERIKSAAN AN. SERIWATI</t>
  </si>
  <si>
    <t>06/cp/dinkes/2018</t>
  </si>
  <si>
    <t>kelebihan belanja spanduk</t>
  </si>
  <si>
    <t>06/CP/PPKD/2018</t>
  </si>
  <si>
    <t>Penerimaan setoran pengembalian dana hibah an. SLB YPAC Pangkalpinang</t>
  </si>
  <si>
    <t>01/CP/B.HUKUM-SEKDA/2018</t>
  </si>
  <si>
    <t>Kelebihan pagu anggaran keg. penyusunan propemperda dan raperda</t>
  </si>
  <si>
    <t>PENGEMBALIAN BELANJA SMA NEGERI 1 LEPAR PONGOK</t>
  </si>
  <si>
    <t>01/CP/SLBNKOBA/2018</t>
  </si>
  <si>
    <t>PENGEMBALIAN MAKAN DAN MINUM KEGIATAN SLBN KOBA</t>
  </si>
  <si>
    <t>01/CP/SMAN1MUNTOK/2018</t>
  </si>
  <si>
    <t>PENGEMBALIAN BELANJA SMAN 1 MUNTOK</t>
  </si>
  <si>
    <t>01/CP/SMKN1PAYUNG/2018</t>
  </si>
  <si>
    <t>PENGEMBALIAN BELANJA PERJALANAN DINAS SMKN 1 PAYUNG</t>
  </si>
  <si>
    <t>01/CP/SMKN1TEMPILANG/2018</t>
  </si>
  <si>
    <t>PENGEMBALIAN BELANJA SMK NEGERI 1 TEMPILANG</t>
  </si>
  <si>
    <t>02/CP/SLBNKOBA/2018</t>
  </si>
  <si>
    <t>PENGEMBALIAN BELANJA PEMELIHARAAN GEDUNG KANTOR SLBN KOBA</t>
  </si>
  <si>
    <t>07/CP/PPKD/2018</t>
  </si>
  <si>
    <t>Penerimaan setoran pengembalian dana hibah an. Dewan pendidikan babel</t>
  </si>
  <si>
    <t>204.A/BS05/ST/SL/2018</t>
  </si>
  <si>
    <t>PENGEMBALIAN DAK FISIK SMKN 1 KELAPA KAMPIT 2018</t>
  </si>
  <si>
    <t>009/JP/BAPPEDA/2018</t>
  </si>
  <si>
    <t>Setoran Kas UP 2017 ke Kas Daerah</t>
  </si>
  <si>
    <t>000010772338367</t>
  </si>
  <si>
    <t>Pengembalian Sisa UP DPMD Tahun 2018</t>
  </si>
  <si>
    <t>0001/PENGEMBALIAN-UP/DISKEPORA/2018</t>
  </si>
  <si>
    <t>PENGEMBALIAN SISA UP BELANJA PEGAWAI DAN BARANG JASA TAHUN 2018</t>
  </si>
  <si>
    <t>001/BPK/S-UP/B02/DISPERINDAG/2018</t>
  </si>
  <si>
    <t>Pengembalian Sisa Uang Persediaan (UP)</t>
  </si>
  <si>
    <t>001/UP/DESDM/2018</t>
  </si>
  <si>
    <t>Pengembalian sisa UP (GU Nihil)</t>
  </si>
  <si>
    <t>0016/Pengembalian/UP/2018</t>
  </si>
  <si>
    <t>Penyetoran sisa UP</t>
  </si>
  <si>
    <t>01/setor up/setda/2018</t>
  </si>
  <si>
    <t>Pengembalian Up ke kas daerah</t>
  </si>
  <si>
    <t>1655/BTK/DISKOMINFO/2018</t>
  </si>
  <si>
    <t>Pengembalian Sisa Uang Persediaan Tahun Anggaran 2018 Dinas Komunikasi dan Informatika Provinsi Kepualuan Bangka Belitung</t>
  </si>
  <si>
    <t>41/UP/INPTD/2018</t>
  </si>
  <si>
    <t>Pengembalian Sisa Uang Persediaan (UP) Inspektorat Daerah Provinsi Kepulauan Bangka Beliting ke Kasda</t>
  </si>
  <si>
    <t>001/UP/DISDIK/2018</t>
  </si>
  <si>
    <t>PENGEMBALIAN SISA UANG PERSEDIAAN PADA DINAS PENDIDIKAN PROV. KEP. BABEL</t>
  </si>
  <si>
    <t>002/UP/DISDIK/2018</t>
  </si>
  <si>
    <t>003/UP/DISDIK/2018</t>
  </si>
  <si>
    <t>004/UP/DISDIK/2018</t>
  </si>
  <si>
    <t>005/UP/DISDIK/2018</t>
  </si>
  <si>
    <t>006/UP/DISDIK/2018</t>
  </si>
  <si>
    <t>007/UP/DISDIK/2018</t>
  </si>
  <si>
    <t>008/UP/DISDIK/2018</t>
  </si>
  <si>
    <t>009/UP/DISDIK/2018</t>
  </si>
  <si>
    <t>010/UP/DISDIK/2018</t>
  </si>
  <si>
    <t>011/UP/DISDIK/2018</t>
  </si>
  <si>
    <t>PENGEMBALIAN SISA UANG PERSEDIAAN PADA DINAS PENDIDIKAN PROV. KEP BABEL</t>
  </si>
  <si>
    <t>012/UP/DISDIK/2018</t>
  </si>
  <si>
    <t>013/UP/DISDIK/2018</t>
  </si>
  <si>
    <t>-PENGEMBALIAN SISA UANG PERSEDIAAN PADA DINAS PENDIDIKAN PROV. KEP. BABEL</t>
  </si>
  <si>
    <t>014/UP/DISDIK/2018</t>
  </si>
  <si>
    <t>015/UP/DISDIK/2018</t>
  </si>
  <si>
    <t>016/UP/DISDIK/2018</t>
  </si>
  <si>
    <t>017/UP/DISDIK/2018</t>
  </si>
  <si>
    <t>018/UP/DISDIK/2018</t>
  </si>
  <si>
    <t>019/UP/DISDIK/2018</t>
  </si>
  <si>
    <t>020/UP/DISDIK/2018</t>
  </si>
  <si>
    <t>021/UP/DISDIK/2018</t>
  </si>
  <si>
    <t>022/UP/DISDIK/2018</t>
  </si>
  <si>
    <t>023/UP/DISDIK/2018</t>
  </si>
  <si>
    <t>024/UP/DISDIK/2018</t>
  </si>
  <si>
    <t>025/UP/DISDIK/2018</t>
  </si>
  <si>
    <t>026/UP/DISDIK/2018</t>
  </si>
  <si>
    <t>027/UP/DISDIK/2018</t>
  </si>
  <si>
    <t>028/UP/DISDIK/2018</t>
  </si>
  <si>
    <t>029/UP/DISDIK/2018</t>
  </si>
  <si>
    <t>030/UP/DISDIK/2018</t>
  </si>
  <si>
    <t>031/UP/DISDIK/2018</t>
  </si>
  <si>
    <t>032/UP/DISDIK/2018</t>
  </si>
  <si>
    <t>033/UP/DISDIK/2018</t>
  </si>
  <si>
    <t>034/UP/DISDIK/2018</t>
  </si>
  <si>
    <t>035/UP/DISDIK/2018</t>
  </si>
  <si>
    <t>036/UP/DISDIK/2018</t>
  </si>
  <si>
    <t>037/UP/DISDIK/2018</t>
  </si>
  <si>
    <t>038/UP/DISDIK/2018</t>
  </si>
  <si>
    <t>039/UP/DISDIK/2018</t>
  </si>
  <si>
    <t>040/UP/DISDIK/2018</t>
  </si>
  <si>
    <t>041/UP/DISDIK/2018</t>
  </si>
  <si>
    <t>042/UP/DISDIK/2018</t>
  </si>
  <si>
    <t>043/UP/DISDIK/2018</t>
  </si>
  <si>
    <t>044/UP/DISDIK/2018</t>
  </si>
  <si>
    <t>045/UP/DISDIK/2018</t>
  </si>
  <si>
    <t>046/UP/DISDIK/2018</t>
  </si>
  <si>
    <t>047/UP/DISDIK/2018</t>
  </si>
  <si>
    <t>048/UP/DISDIK/2018</t>
  </si>
  <si>
    <t>049/UP/DISDIK/2018</t>
  </si>
  <si>
    <t>050/UP/DISDIK/2018</t>
  </si>
  <si>
    <t>051/UP/DISDIK/2018</t>
  </si>
  <si>
    <t>052/UP/DISDIK/2018</t>
  </si>
  <si>
    <t>053/UP/DISDIK/2018</t>
  </si>
  <si>
    <t>054/UP/DISDIK/2018</t>
  </si>
  <si>
    <t>055/UP/DISDIK/2018</t>
  </si>
  <si>
    <t>056/UP/DISDIK/2018</t>
  </si>
  <si>
    <t>057/UP/DISDIK/2018</t>
  </si>
  <si>
    <t>058/UP/DISDIK/2018</t>
  </si>
  <si>
    <t>059/UP/DISDIK/2018</t>
  </si>
  <si>
    <t>060/UP/DISDIK/2018</t>
  </si>
  <si>
    <t>061/UP/DISDIK/2018</t>
  </si>
  <si>
    <t>062/UP/DISDIK/2018</t>
  </si>
  <si>
    <t>063/UP/DISDIK/2018</t>
  </si>
  <si>
    <t>064/UP/DISDIK/2018</t>
  </si>
  <si>
    <t>065/UP/DISDIK/2018</t>
  </si>
  <si>
    <t>066/UP/DISDIK/2018</t>
  </si>
  <si>
    <t>067/UP/DISDIK/2018</t>
  </si>
  <si>
    <t>068/UP/DISDIK/2018</t>
  </si>
  <si>
    <t>069/UP/DISDIK/2018</t>
  </si>
  <si>
    <t>000011835937770</t>
  </si>
  <si>
    <t>Pengembalian Sisa Uang Persediaan Tahun Anggaran 2018 Dinas Kearsipan dan Perpustakaan Provinsi Kepulauan Bangka Belitung</t>
  </si>
  <si>
    <t>0001/SETOR-SISAKAS/BPBD/2018</t>
  </si>
  <si>
    <t>SETOR SISA BELANJA BARANG DAN JASA DAN BELANJA PEGAWAI</t>
  </si>
  <si>
    <t>0001/SETOR-UP/PERTANIAN/2018</t>
  </si>
  <si>
    <t>Pengembalian UP/GU Bank Dinas pertanian Prov. Kep Babel TA 2018</t>
  </si>
  <si>
    <t>0002/SETOR-UP/PERTANIAN/2018</t>
  </si>
  <si>
    <t>Pengembalian UP/GU Tunai Dinas pertanian Prov. Kep Babel TA 2018</t>
  </si>
  <si>
    <t>001/SETOR SISA UP/BAPPEDA/2018</t>
  </si>
  <si>
    <t>Pengembalian SISA UP/GU pada Bendahara Pengeluaran BAPPEDA Provinsi Kepulauan Bangka Belitung TA 2018</t>
  </si>
  <si>
    <t>001/setor-sisa/UP/BL/Disbudpar/2018</t>
  </si>
  <si>
    <t>Pengembalian sisa UP TA. 2018</t>
  </si>
  <si>
    <t>001/SETORAN/UP/DPMPTSP/2018</t>
  </si>
  <si>
    <t>Pengembalian Ganti Uang Persediaan 2018.</t>
  </si>
  <si>
    <t>001/Setoran/UP/Setwan</t>
  </si>
  <si>
    <t>Setoran sisa ganti uang persedaan Set. DPRD TA. 2018</t>
  </si>
  <si>
    <t>001/SISAUP/2018</t>
  </si>
  <si>
    <t>Setoran Sisa Uang Persediaan Belanja Pegawai dan Belanja Barang Jasa 2018</t>
  </si>
  <si>
    <t>001/SSUP/RSUDP/2018</t>
  </si>
  <si>
    <t>Setoran sisa Uang Persediaan (UP) tahun anggaran 2018 no cek. 944694</t>
  </si>
  <si>
    <t>001/SUP/DP3ACSKB/2018</t>
  </si>
  <si>
    <t>Penyetoran Sisa Uang Persediaan Pada DP3ACSKB 2018</t>
  </si>
  <si>
    <t>002/STS/RSJD/2018</t>
  </si>
  <si>
    <t>Setoran Sisa Kas Uang Persediaan TA 2018 ke Kas Daerah</t>
  </si>
  <si>
    <t>01/DK/2018</t>
  </si>
  <si>
    <t>Sisa UP TA 2018</t>
  </si>
  <si>
    <t>01/DPRKP/PENGEMBALIAN/2018</t>
  </si>
  <si>
    <t>PENGEMBALIAN SISA UP DPRKP 2018</t>
  </si>
  <si>
    <t>01/DPUPR/PENGEMBALIAN/2018</t>
  </si>
  <si>
    <t>PENGEMBALIAN SISA UP DPUPR 2018</t>
  </si>
  <si>
    <t>01/SETOR-UP/DINSOS/2018</t>
  </si>
  <si>
    <t>Pengembalian Sisa Uang Persediaan (UP) Dinas Sosial Provinsi Kepualuan Bangka Belitung</t>
  </si>
  <si>
    <t>01/setoran up/2018</t>
  </si>
  <si>
    <t>setoran sisa up</t>
  </si>
  <si>
    <t>01/SISAUP/DISNAKER/2018</t>
  </si>
  <si>
    <t>PENGEMBALIAN SISA UP 2018</t>
  </si>
  <si>
    <t>02</t>
  </si>
  <si>
    <t>SETOR SISA GU</t>
  </si>
  <si>
    <t>029/SISA/BKPSDM/2018</t>
  </si>
  <si>
    <t>Pengembalian Sisa UP/GU BKPSDM 2018</t>
  </si>
  <si>
    <t>11</t>
  </si>
  <si>
    <t>Setoran Sisa UP</t>
  </si>
  <si>
    <t>12</t>
  </si>
  <si>
    <t>1309/BKU/SETORAN UP/DISHUB/IV/2018</t>
  </si>
  <si>
    <t>SETORAN SISA UP / GU</t>
  </si>
  <si>
    <t>2973/DLH</t>
  </si>
  <si>
    <t>Pengembalian Sisa UP</t>
  </si>
  <si>
    <t>441747015</t>
  </si>
  <si>
    <t>Setor sisa UP Bendahara Pengeluaran Badan Penghubung</t>
  </si>
  <si>
    <t>F-003/ISO/BSB/I/2014</t>
  </si>
  <si>
    <t>Pengembalian Sisa Saldo UP Kas Bank Bendahara Pengeluaran Dinas Koperasi dan UKM Prov. Kep. Babel Tahun 2018</t>
  </si>
  <si>
    <t>S.003/QMR/BSS/2006</t>
  </si>
  <si>
    <t>Setoran Sisa UP Dinas Kehutanan Provinsi Kepulauan Bangka Belitung Tahun Anggaran 2018</t>
  </si>
  <si>
    <t>0011/SPM/TU/BL/I/KUKM/2018</t>
  </si>
  <si>
    <t>Pengembalian Sisa TU Kegiatan Penyelenggaraan Pelatihan Perkoperasian dan UKM (DAK) TA 2018</t>
  </si>
  <si>
    <t>F-003/ISO/BSB/1/2014</t>
  </si>
  <si>
    <t>0016/SPM/TU/BL/I/KUKM/2018</t>
  </si>
  <si>
    <t>Pengembalian Sisa TU Kegiatan Penyelenggaraan Pelatihan Perkoperasian dan UKM (DAK)</t>
  </si>
  <si>
    <t>02/SISATU/KESBANGPOL/IIX/2018</t>
  </si>
  <si>
    <t>001/SPM/TU/BL/KESBANGPOL/III/2018</t>
  </si>
  <si>
    <t>PENGEMBALIAN SISA TU</t>
  </si>
  <si>
    <t>01/SISA-TU/SETDA/II/2018</t>
  </si>
  <si>
    <t>116/SPM/TU/BL/SETDA/2018</t>
  </si>
  <si>
    <t>Pengembalian Sisa Dana TU Kegiatan Pembinaan dan Pemberangkatan Kafilah STQ Nasional TA2018</t>
  </si>
  <si>
    <t>000012991722362</t>
  </si>
  <si>
    <t>1078/SPM/TUP/BL/DISDIK/2018</t>
  </si>
  <si>
    <t>Pengembalian dana BOS belanja modal aset tetap lainnya SMAN 1 Manggar</t>
  </si>
  <si>
    <t>000011011356061</t>
  </si>
  <si>
    <t>1014/SPM/TUP/BL/DISDIK/2018</t>
  </si>
  <si>
    <t>Pengembalian atas belanja pegawai BOS Rp. 5.167.000 dan belanja aset tetap lainya Rp 10.000.000</t>
  </si>
  <si>
    <t>000013828034195</t>
  </si>
  <si>
    <t>1054/SPM/TUP/BL/DISDIK/2018</t>
  </si>
  <si>
    <t>pengembalian atas belanja modal peralatan mesin lainnya dana BOS</t>
  </si>
  <si>
    <t>000009471286665</t>
  </si>
  <si>
    <t>1011/SPM/TUP/BL/DISDIK/2018</t>
  </si>
  <si>
    <t>Pengembalian Belanja Pegawai Pada SMAN 4 Pangkalpinang</t>
  </si>
  <si>
    <t>Pengembalian/BOS/SMAN1belinyu</t>
  </si>
  <si>
    <t>1019/SPM/TUP/BL/DISDIK/2018</t>
  </si>
  <si>
    <t>Pengembalian dana BOS Pada SMAN 1 Belinyu belanja Modal peralatan dan mesin</t>
  </si>
  <si>
    <t>30009.46/SMK1SIMKAT/BOSAPBN/III/2018</t>
  </si>
  <si>
    <t>1051/SPM/TUP/BL/DISDIK/2018</t>
  </si>
  <si>
    <t>Setoran Pengembalian Belanja Pegawai Dana BOS Tw 3</t>
  </si>
  <si>
    <t>Pengembalian/01/bos/SMAN3PKP/2018</t>
  </si>
  <si>
    <t>1010/SPM/TUP/BL/DISDIK/2018</t>
  </si>
  <si>
    <t>Pengembalian dana bos belanja Barang dan Jasa Pada SMAN 3 PKP</t>
  </si>
  <si>
    <t>Pengembalian/BOS/SMAN1kelapakampit</t>
  </si>
  <si>
    <t>1077/SPM/TUP/BL/DISDIK/2018</t>
  </si>
  <si>
    <t>Pengembalian dana BOS SMAN 1 Kelapa Kampit belanja modal aset tetap</t>
  </si>
  <si>
    <t>Pengembalian/BOS/SMKN1kelapa</t>
  </si>
  <si>
    <t>1038/SPM/TUP/BL/DISDIK/2018</t>
  </si>
  <si>
    <t>Pengembalian Dana BOS Pada SMKN 1 Kelapa Belanja barang dan Jasa 2018</t>
  </si>
  <si>
    <t>pengembalian/BOS/SMKN1airgegas</t>
  </si>
  <si>
    <t>1061/SPM/TUP/BL/DISDIK/2018</t>
  </si>
  <si>
    <t>Pengembalian Dana BOS SMKN 1 air gegas Belanja Pegawai</t>
  </si>
  <si>
    <t>pengembalian/BOS/SMKN1kelapakampit</t>
  </si>
  <si>
    <t>1081/SPM/TUP/BL/DISDIK/2018</t>
  </si>
  <si>
    <t>Pengembalian Dana BOS Belanja pegawai Pada SMKN 1 Kelapa Kampit</t>
  </si>
  <si>
    <t>pengembalian/BOS/SMKN1tukaksadai</t>
  </si>
  <si>
    <t>1065/SPM/TUP/BL/DISDIK/2018</t>
  </si>
  <si>
    <t>Pengembalian dana BOS Pada SMKN1 tukak sadai Belanja Barang dan Jasa</t>
  </si>
  <si>
    <t>pengembalian/BOS/SMKN3tanjungpandan</t>
  </si>
  <si>
    <t>1074/SPM/TUP/BL/DISDIK/2018</t>
  </si>
  <si>
    <t>Pengembalian belanja BOS SMKN 3 tanjungpandan belanja modal aset tetaplainnya</t>
  </si>
  <si>
    <t>01</t>
  </si>
  <si>
    <t>0076/SPM/TU/BL/DKP/IV/2018</t>
  </si>
  <si>
    <t>NIHIL</t>
  </si>
  <si>
    <t>03</t>
  </si>
  <si>
    <t>0078/SPM/TU/BL/DKP/IV/2018</t>
  </si>
  <si>
    <t>Pengembalian TU</t>
  </si>
  <si>
    <t>04</t>
  </si>
  <si>
    <t>0079/SPM/TU/BL/DKP/IV/2018</t>
  </si>
  <si>
    <t>05</t>
  </si>
  <si>
    <t>0080/SPM/TU/BL/DKP/IV/2018</t>
  </si>
  <si>
    <t>06</t>
  </si>
  <si>
    <t>0081/SPM/TU/BL/DKP/IV/2018</t>
  </si>
  <si>
    <t>07</t>
  </si>
  <si>
    <t>0082/SPM/TU/BL/DKP/IV/2018</t>
  </si>
  <si>
    <t>09</t>
  </si>
  <si>
    <t>0084/SPM/TU/BL/DKP/IV/2018</t>
  </si>
  <si>
    <t>10</t>
  </si>
  <si>
    <t>0085/SPM/TU/BL/DKP/IV/2018</t>
  </si>
  <si>
    <t>2</t>
  </si>
  <si>
    <t>0077/SPM/TU/BL/DKP/IV/2018</t>
  </si>
  <si>
    <t>DAFTAR PIUTANG PENDAPATAN</t>
  </si>
  <si>
    <t>PER 31 DESEMBER 2018</t>
  </si>
  <si>
    <t xml:space="preserve">NOMOR </t>
  </si>
  <si>
    <t>Nilai Per 31 Des 2017</t>
  </si>
  <si>
    <t>PENAMBAHAN</t>
  </si>
  <si>
    <t>PENGURANGAN</t>
  </si>
  <si>
    <t>Nilai Per 31 Des 2018</t>
  </si>
  <si>
    <t xml:space="preserve"> 1 Januari 2018</t>
  </si>
  <si>
    <t>Saldo Awal</t>
  </si>
  <si>
    <t>PIUTANG BLHD</t>
  </si>
  <si>
    <t>PT. CAHAYA KILAU KENCANA</t>
  </si>
  <si>
    <t>CV. GARBA MINING</t>
  </si>
  <si>
    <t>PT. INTIMULYA MULTIKENCANA</t>
  </si>
  <si>
    <t>PT. BANGKA CIPTA PRATAMA</t>
  </si>
  <si>
    <t>CV. SUMBER ALAM LESTARI</t>
  </si>
  <si>
    <t>PT. MITRA GAPURA MANDIRI</t>
  </si>
  <si>
    <t>CV. HARAPAN MUDA</t>
  </si>
  <si>
    <t>PT. PARIT SEMBADA</t>
  </si>
  <si>
    <t>GRAND HATIKA HOTEL BELITUNG</t>
  </si>
  <si>
    <t>SHOWROOM NISSAN DATSUN</t>
  </si>
  <si>
    <t>PT. SWARNA NUSA SENTOSA</t>
  </si>
  <si>
    <t>PT. STEELINDO WAHAHA PERKASA</t>
  </si>
  <si>
    <t>BUMI SAWIT SUKSES PRATAMA POM</t>
  </si>
  <si>
    <t>PT. ARTA PRIMA NUSA JAYA</t>
  </si>
  <si>
    <t>PT. MAS BRO ALAM STANIA</t>
  </si>
  <si>
    <t>PT. KARUNIA ANUGERAH ALAM</t>
  </si>
  <si>
    <t>PT. RAJEHAN ARIQ</t>
  </si>
  <si>
    <t>PT. BASEL MINING SEJAHTERA</t>
  </si>
  <si>
    <t>PT. TRIMITRA BANGKA UTAMA</t>
  </si>
  <si>
    <t>PT.BANGKA SERUMPUN</t>
  </si>
  <si>
    <t>PT. PRISMA MULTI KARYA</t>
  </si>
  <si>
    <t>PT. RAJAWALI NYNDIA PERSADA</t>
  </si>
  <si>
    <t>BANGKA TIN INDUSTRI</t>
  </si>
  <si>
    <t>PT. BABEL ALAM KARYA LESTARI</t>
  </si>
  <si>
    <t>PIUTANG DISPORA</t>
  </si>
  <si>
    <t>Desember 2018</t>
  </si>
  <si>
    <t>Piutang Sewa GOR Kejuaraan Daerah Tk. Usia Dini Pra Remaja dan Remaja Antar Perguruaan Silat Tanggal 25 - 28 Desember 2018 Berdasarkan No. SKRD : 0016/SKRD/DISKEPORA/2018 Tanggal 28 Desember 2018</t>
  </si>
  <si>
    <t>PIUTANG BKPSDM</t>
  </si>
  <si>
    <t>PIUTANG RSUP</t>
  </si>
  <si>
    <t>PASIEN JAMINAN TAHUN 2018</t>
  </si>
  <si>
    <t>JAMKESDA Kab. Bangka Barat Bupel. Maret 2017</t>
  </si>
  <si>
    <t>JAMKESDA Kab. Bangka Barat Bupel. Mei 2017</t>
  </si>
  <si>
    <t>JAMKESDA Kab. Bangka Barat Bupel. Juni 2017</t>
  </si>
  <si>
    <t>JAMKESDA Kab. Bangka Barat Bupel. Juli 2017</t>
  </si>
  <si>
    <t>JAMKESDA Kab. Bangka Barat Bupel. Agustus 2017</t>
  </si>
  <si>
    <t>JAMKESDA Kab. Bangka Barat Bupel. September 2017</t>
  </si>
  <si>
    <t>JAMKESDA Kab. Bangka Barat Bupel. Oktober 2017</t>
  </si>
  <si>
    <t>JAMKESDA Kab. Bangka Barat Bupel. Desember 2017</t>
  </si>
  <si>
    <t>BPJS Kesehatan Klaim Pending Bupel. Januari 2017</t>
  </si>
  <si>
    <t>BPJS Kesehatan Klaim Pending Bupel. Februari 2017</t>
  </si>
  <si>
    <t>BPJS Kesehatan Klaim Pending Bupel. Maret 2017</t>
  </si>
  <si>
    <t>BPJS Kesehatan Klaim Pending Bupel. April 2017</t>
  </si>
  <si>
    <t>BPJS Kesehatan Klaim Pending Bupel. Mei 2017</t>
  </si>
  <si>
    <t>BPJS Kesehatan Klaim Pending Bupel. Juni 2017</t>
  </si>
  <si>
    <t>BPJS Kesehatan Klaim Pending Bupel. Juli 2017</t>
  </si>
  <si>
    <t>BPJS Kesehatan Klaim Pending Bupel. Agustus 2017</t>
  </si>
  <si>
    <t>BPJS Kesehatan Klaim Pending Bupel. September 2017</t>
  </si>
  <si>
    <t>BPJS Kesehatan Klaim Bupel. Oktober 2017</t>
  </si>
  <si>
    <t>BPJS Kesehatan Klaim Bupel. Juli 2017 (Prothese gigi)</t>
  </si>
  <si>
    <t>BPJS Kesehatan Klaim Bupel. Agustus 2017 (Prothese gigi)</t>
  </si>
  <si>
    <t>JKBS Kab. Bangka Selatan Bupel. Juni 2018</t>
  </si>
  <si>
    <t>JKBS Kab. Bangka Selatan Bupel. Juli 2018</t>
  </si>
  <si>
    <t>JKBS Kab. Bangka Selatan Bupel. Agustus 2018</t>
  </si>
  <si>
    <t>JKBS Kab. Bangka Selatan Bupel. September 2018</t>
  </si>
  <si>
    <t>JKBS Kab. Bangka Selatan Bupel. Oktober 2018</t>
  </si>
  <si>
    <t>JAMPERSAL Kab. Bangka Selatan Bupel. Oktober 2018</t>
  </si>
  <si>
    <t>MCU Calon Praja IPDN tahun 2018</t>
  </si>
  <si>
    <t>BPJS Kesehatan Rawat Jalan April 2018</t>
  </si>
  <si>
    <t>BPJS Kesehatan Rawat Jalan Januari-Maret 2018 (Pending)</t>
  </si>
  <si>
    <t>BPJS Kesehatan Rawat Inap April 2018</t>
  </si>
  <si>
    <t>BPJS Kesehatan Rawat Inap Januari-Maret 2018 (Pending)</t>
  </si>
  <si>
    <t>PASIEN UMUM TAHUN 2017</t>
  </si>
  <si>
    <t>Asmana</t>
  </si>
  <si>
    <t>PIUTANG RSJP</t>
  </si>
  <si>
    <t>Asrul</t>
  </si>
  <si>
    <t>Jefri</t>
  </si>
  <si>
    <t>Irwanto</t>
  </si>
  <si>
    <t>Suhardi</t>
  </si>
  <si>
    <t>Adi Putra</t>
  </si>
  <si>
    <t>Arafat Labang</t>
  </si>
  <si>
    <t>Mr.X/Alpian</t>
  </si>
  <si>
    <t>Raka Ariyatna</t>
  </si>
  <si>
    <t>Januari 2016</t>
  </si>
  <si>
    <t>Rahman</t>
  </si>
  <si>
    <t>Raimor Alan</t>
  </si>
  <si>
    <t>Sukendri</t>
  </si>
  <si>
    <t>Iwan Agustinus</t>
  </si>
  <si>
    <t>Dedi Irwansyah</t>
  </si>
  <si>
    <t>September 2016</t>
  </si>
  <si>
    <t>Dani Santika</t>
  </si>
  <si>
    <t>November 2016</t>
  </si>
  <si>
    <t>Hardianto</t>
  </si>
  <si>
    <t>Juni 2017</t>
  </si>
  <si>
    <t>Sujianto</t>
  </si>
  <si>
    <t>April 2017</t>
  </si>
  <si>
    <t>Sunarti</t>
  </si>
  <si>
    <t>Jolli</t>
  </si>
  <si>
    <t>September 2017</t>
  </si>
  <si>
    <t>Alimudin</t>
  </si>
  <si>
    <t>Agustus 2017</t>
  </si>
  <si>
    <t>Efandri</t>
  </si>
  <si>
    <t>Desember 2015</t>
  </si>
  <si>
    <t>Tagihan a.n Rosidi bulan Desember 2015 ke RSUD sungailiat</t>
  </si>
  <si>
    <t>BPJS Kesehatan Klaim pending bulan pelayanan Juni 2017</t>
  </si>
  <si>
    <t>BPJS Kesehatan Klaim pending bulan pelayanan Agustus 2017</t>
  </si>
  <si>
    <t>Jaminan Kesehatan Rakyat (JKR) Kab.Bangka Barat Bulan Pelayanan Mei 2017</t>
  </si>
  <si>
    <t>Jaminan Kesehatan Rakyat (JKR) Kab.Bangka Barat Bulan Pelayanan Juni 2017</t>
  </si>
  <si>
    <t>Jaminan Kesehatan Rakyat (JKR) Kab.Bangka Barat Bulan Pelayanan Juli 2017</t>
  </si>
  <si>
    <t>Jaminan Kesehatan Rakyat (JKR) Kab.Bangka Barat Bulan Pelayanan Agustus 2017</t>
  </si>
  <si>
    <t>Jaminan Kesehatan Rakyat (JKR) Kab.Bangka Barat Bulan Pelayanan September 2017</t>
  </si>
  <si>
    <t>Jaminan Kesehatan Rakyat (JKR) Kab.Bangka Barat Bulan Pelayanan Oktober 2017</t>
  </si>
  <si>
    <t>Jaminan Kesehatan Rakyat (JKR) Kab.Bangka Barat Bulan Pelayanan November 2017</t>
  </si>
  <si>
    <t xml:space="preserve"> Januari 2018</t>
  </si>
  <si>
    <t>Syamsiah</t>
  </si>
  <si>
    <t>Maret 2018</t>
  </si>
  <si>
    <t>Muhayar</t>
  </si>
  <si>
    <t xml:space="preserve"> April 2018</t>
  </si>
  <si>
    <t>Pinta Wijaya</t>
  </si>
  <si>
    <t>Rosyatinah</t>
  </si>
  <si>
    <t>Abdul Aziz</t>
  </si>
  <si>
    <t>Mei 2018</t>
  </si>
  <si>
    <t>Arfandi, SE</t>
  </si>
  <si>
    <t>Juli 2018</t>
  </si>
  <si>
    <t xml:space="preserve">Mr X (Yeyen) </t>
  </si>
  <si>
    <t xml:space="preserve">Asiah </t>
  </si>
  <si>
    <t xml:space="preserve"> September 2018</t>
  </si>
  <si>
    <t xml:space="preserve">Sun Siong </t>
  </si>
  <si>
    <t xml:space="preserve">Teguh Aprianto </t>
  </si>
  <si>
    <t>Oktober 2018</t>
  </si>
  <si>
    <t xml:space="preserve">Nurlela </t>
  </si>
  <si>
    <t xml:space="preserve"> November 2018</t>
  </si>
  <si>
    <t xml:space="preserve">Yusri </t>
  </si>
  <si>
    <t xml:space="preserve">Suriati </t>
  </si>
  <si>
    <t xml:space="preserve">Sudarmanto </t>
  </si>
  <si>
    <t xml:space="preserve"> Desember 2018</t>
  </si>
  <si>
    <t>BPJS Kesehatan bupel Agustus 2018</t>
  </si>
  <si>
    <t>BPJS Kesehatan bupel September 2018</t>
  </si>
  <si>
    <t>Pembayaran Rehabilitasi Rawat Inap Bagi Pasien Sukarela bulan Oktober 2018</t>
  </si>
  <si>
    <t>DAFTAR UMUR PIUTANG</t>
  </si>
  <si>
    <t>JENIS BARANG</t>
  </si>
  <si>
    <t>HARGA JUAL</t>
  </si>
  <si>
    <t>SISA ANGSURAN SD DESEMBER 2017</t>
  </si>
  <si>
    <t>ANGSURAN</t>
  </si>
  <si>
    <t>JATUH TEMPO ANGSURAN</t>
  </si>
  <si>
    <t>&lt; 1 TAHUN</t>
  </si>
  <si>
    <t>&gt; 1 TAHUN</t>
  </si>
  <si>
    <t>Rumah Dinas</t>
  </si>
  <si>
    <t>LUNAS</t>
  </si>
  <si>
    <t>RUMAH</t>
  </si>
  <si>
    <t>NAMA PEMBELI</t>
  </si>
  <si>
    <t>PENAMBAHAN &lt; 1 TAHUN</t>
  </si>
  <si>
    <t>PEMBAYARAN</t>
  </si>
  <si>
    <t>LEBIH BAYAR TAHUN 2013</t>
  </si>
  <si>
    <t>KOREKSI</t>
  </si>
  <si>
    <t>RUSLAN</t>
  </si>
  <si>
    <t>NAZIARTO</t>
  </si>
  <si>
    <t>SUHAIMI</t>
  </si>
  <si>
    <t>LEBIH BAYAR TAHUN 2014</t>
  </si>
  <si>
    <t>KETERANGAN</t>
  </si>
  <si>
    <t>-</t>
  </si>
  <si>
    <t>LUNAS DAN LEBIH BAYAR</t>
  </si>
  <si>
    <r>
      <rPr>
        <b/>
        <sz val="16"/>
        <rFont val="Calibri"/>
        <family val="2"/>
      </rPr>
      <t xml:space="preserve">PEMERINTAH PROVINSI KEPULAUAN BANGKA BELITUNG                                                                                                                                            </t>
    </r>
    <r>
      <rPr>
        <b/>
        <sz val="10"/>
        <rFont val="Calibri"/>
        <family val="2"/>
      </rPr>
      <t xml:space="preserve"> </t>
    </r>
  </si>
  <si>
    <r>
      <rPr>
        <b/>
        <sz val="16"/>
        <rFont val="Calibri"/>
        <family val="2"/>
      </rPr>
      <t xml:space="preserve">DAFTAR SALDO TUNTUTAN PERBENDAHARAAN-TUNTUTAN GANTI RUGI (TP-TGR)                                                                          </t>
    </r>
    <r>
      <rPr>
        <b/>
        <sz val="10"/>
        <rFont val="Calibri"/>
        <family val="2"/>
      </rPr>
      <t xml:space="preserve"> </t>
    </r>
  </si>
  <si>
    <t>URAIAN TEMUAN</t>
  </si>
  <si>
    <t>NILAI TEMUAN
(Rp.)</t>
  </si>
  <si>
    <t>NAMA 
PENANGGUNG JAWAB</t>
  </si>
  <si>
    <t>PELUNASAN</t>
  </si>
  <si>
    <t>ANGSURAN PENGEMBALIAN
(Rp.)</t>
  </si>
  <si>
    <t xml:space="preserve">SISA/SALDO TGR
(Rp.)
</t>
  </si>
  <si>
    <t>A. LAPORAN HASIL PEMERIKSAAN INSPEKTORAT DAERAH PROV. KEPULAUAN BANGKA BELITUNG s.d.31 DESEMBER 2018</t>
  </si>
  <si>
    <t xml:space="preserve">B. LAPORAN HASIL PEMERIKSAAN BPK RI </t>
  </si>
  <si>
    <t>C</t>
  </si>
  <si>
    <t>JUMLAH PEMBEBANAN TAHUN 2018 
(A + B)</t>
  </si>
  <si>
    <t>D</t>
  </si>
  <si>
    <t>TOTAL PEMBEBANAN SEBELUMNYA</t>
  </si>
  <si>
    <t>1.  TEMUAN BPK (2005)</t>
  </si>
  <si>
    <t>2.  TEMUAN INPTD (2003-2016)</t>
  </si>
  <si>
    <t>3.  TEMUAN ITJEN KEMENDAGRI (2008)</t>
  </si>
  <si>
    <t>E</t>
  </si>
  <si>
    <t>TOTAL PEMBEBANAN s.d. TAHUN 2018
(C + D)</t>
  </si>
  <si>
    <t>Saldo Penerimaan s.d. Desember 2018 atas pembebanan Tahun sebelumnya (Pembebanan Tahun 2016 ke bawah)</t>
  </si>
  <si>
    <t>Diambil dari tabel rekon  penerimaan</t>
  </si>
  <si>
    <t>PEMBEBANAN TUNTUTAN GANTI RUGI BAGI PIHAK LAIN/SWASTA</t>
  </si>
  <si>
    <t>DI LINGKUNGAN PEMERINTAH PROVINSI KEPULAUAN BANGKA BELITUNG</t>
  </si>
  <si>
    <t>NOMOR 
 dan 
TANGGAL LHP</t>
  </si>
  <si>
    <r>
      <rPr>
        <sz val="12"/>
        <color indexed="8"/>
        <rFont val="Arial Narrow"/>
        <family val="2"/>
      </rPr>
      <t xml:space="preserve">TTL PENGEMBALIAN
</t>
    </r>
    <r>
      <rPr>
        <sz val="10"/>
        <color indexed="8"/>
        <rFont val="Arial Narrow"/>
        <family val="2"/>
      </rPr>
      <t>(s.d. 31 Des.2018)
(Rp.)</t>
    </r>
  </si>
  <si>
    <r>
      <rPr>
        <sz val="12"/>
        <color indexed="8"/>
        <rFont val="Arial Narrow"/>
        <family val="2"/>
      </rPr>
      <t xml:space="preserve">ANGSURAN PENGEMBALIAN
</t>
    </r>
    <r>
      <rPr>
        <sz val="10"/>
        <color indexed="8"/>
        <rFont val="Arial Narrow"/>
        <family val="2"/>
      </rPr>
      <t>(s.d. 31 DESEMBER 2017)</t>
    </r>
    <r>
      <rPr>
        <sz val="12"/>
        <color indexed="8"/>
        <rFont val="Arial Narrow"/>
        <family val="2"/>
      </rPr>
      <t xml:space="preserve">
(Rp.)</t>
    </r>
  </si>
  <si>
    <t xml:space="preserve">SISA/
SALDO TGR
(Rp.)
</t>
  </si>
  <si>
    <t>A. LAPORAN HASIL PEMERIKSAAN INSPEKTORAT DAERAH PROV. KEPULAUAN BANGKA BELITUNG  s.d. 31 DESEMBER 2018</t>
  </si>
  <si>
    <t>700/010-P4D/LHP/INPTD/2018
(Tgl. 05 April 2018)</t>
  </si>
  <si>
    <t>SELESAI</t>
  </si>
  <si>
    <t>Terdapat Kelebihan pembayaran atas kekurangan volume pekerjaan sebesar Rp11.043.595,00</t>
  </si>
  <si>
    <t>TEMUAN NO.5</t>
  </si>
  <si>
    <t>/06/2018</t>
  </si>
  <si>
    <t>DABA KEU. PEMPROV. KEP. BANGKA BELITUNG PADA PEMKAB. BELITUNG TIMUR T.A. 2017</t>
  </si>
  <si>
    <t>700/041-P4D/LHP/INPTD/2018
(Tgl. 03 Mei 2018)</t>
  </si>
  <si>
    <t>BELUM SELESAI</t>
  </si>
  <si>
    <t>Terdapat belanja material pekerjaan pembuatan
sumur bor tidak dapat dipertanggungjawabkan 
sebesar Rp3.625.691,73</t>
  </si>
  <si>
    <t xml:space="preserve">DABA BOS PEMPROV KEP. BANGKA BELITUNG PADA DINAS PENDIDIKAN UNTUK SMA/SMK/SLB DI WIL. KAB. BELITUNG T.A. 2017 </t>
  </si>
  <si>
    <t>700/030-P4D/LHP/INPTD/2018
(Tgl. 04 Mei 2018)</t>
  </si>
  <si>
    <t>Terdapat kekurangan volume pada beberapa kegiatan pemeliharaan sebesar Rp8.382.863,00</t>
  </si>
  <si>
    <t>TEMUAN NO. 1</t>
  </si>
  <si>
    <t>Terdapat kelebihan pembayaran pada bebrapa kegiatan pemeliharaan sebesar Rp44.892.650,00</t>
  </si>
  <si>
    <t>TEMUAN NO. 2</t>
  </si>
  <si>
    <t>Terdapat kelebihan pembayaran pada bebrapa kegiatan pemeliharaan sebesar Rp7.300.000,00</t>
  </si>
  <si>
    <t>TEMUAN NO. 3</t>
  </si>
  <si>
    <t>Terdapat pembayaran ganda belanja bahan pemeliharaan taman  sebesar Rp750.000,00</t>
  </si>
  <si>
    <t>BELUM</t>
  </si>
  <si>
    <t>Terdapat kekurangan volume pada beberapa kegiatan pemeliharaan sebesar Rp44.700.000,00</t>
  </si>
  <si>
    <t>Terdapat kelebihan  pembayaran belanja pemeliharaan taman  sebesar Rp1.500.000,00</t>
  </si>
  <si>
    <t>Terdapat belanja pemeliharaan gedung kantor yang jumlahnya tidak sesuai dengan surat pertanggungjawaban sebesar Rp3.000.000,00</t>
  </si>
  <si>
    <t>Terdapat kekurangan volume pada beberapa kegiatan pemeliharaan sebesar Rp1.800.000,00</t>
  </si>
  <si>
    <t>Terdapat kelebihan pembayaran belanja pemeliharaan taman  sebesar Rp100.000,00</t>
  </si>
  <si>
    <t>Terdapat kelebihan  pembayaran belanja pemeliharaan taman  sebesar Rp350.000,00</t>
  </si>
  <si>
    <t>IV</t>
  </si>
  <si>
    <t>DABA BOS DAN DANA PENINGKATAN FUNGSI PELAYANAN KBM PEMPROV KEP. BANGKA BELITUNG PADA KAB. BELITUNG TIMUR
 T.A. 2017</t>
  </si>
  <si>
    <t>700/031-P4D/LHP/INPTD/2018
(Tgl. 04 Mei 2018)</t>
  </si>
  <si>
    <t>13</t>
  </si>
  <si>
    <t>Terdapat kekurangan volume pekerjaan pemeliharaan gedung kantor   sebesar Rp1.800.000,00</t>
  </si>
  <si>
    <t>V</t>
  </si>
  <si>
    <t xml:space="preserve">DABA BOS PEMPROV KEP. BANGKA BELITUNG PADA DINAS PENDIDIKAN UNTUK SMA/SMK/SLB DI WIL. KAB. BANGKA BARAT T.A. 2017 </t>
  </si>
  <si>
    <t>700/032-P4D/LHP/INPTD/2018
(Tgl. 24 Mei 2018)</t>
  </si>
  <si>
    <t>Terdapat  kekurangan volume pekerjaan pemeliharaan gedung kantor    sebesar Rp1.226.500,00</t>
  </si>
  <si>
    <t>TEMUAN 1</t>
  </si>
  <si>
    <t>Terdapat  kemahalan harga dan kekurangan volume pekerjaan    sebesar Rp9.441.500,00</t>
  </si>
  <si>
    <t>Terdapat  kemahalan harga dan pekerjaan yang tidak dilaksanakan pada kegiatan pemeliharaan gedung dan taman   sebesar Rp12.128.570,00</t>
  </si>
  <si>
    <t>Terdapat  kekurangan volume pada belanja paket oerawatan/perbaikan WC siswa   sebesar Rp600.000,00</t>
  </si>
  <si>
    <t>Terdapat  pekerjaan yang tidak dilaksanakan pada kegiatan pemeliharaan   sebesar Rp4.200.000,00</t>
  </si>
  <si>
    <t>Terdapat  pertanggungjawaban yang tidak sesuai dengan pekerjaan yang dilaksanakan pada belanja bahan baku bangunan  sebesar Rp7.586.255,00</t>
  </si>
  <si>
    <t>TEMUAN 2</t>
  </si>
  <si>
    <t>Terdapat  kemahalan harga  belanja meja kursi siswa   sebesar Rp14.000.000,00</t>
  </si>
  <si>
    <t>Terdapat  kekurangan volume belanja bahan baku kurikulum kelas IX   sebesar Rp276.000,00</t>
  </si>
  <si>
    <t>Terdapat  kekurangan volume pekerjaan pada kegiatan pemeliharaan meubelair  sebesar Rp10.450.365,00</t>
  </si>
  <si>
    <t>Terdapat  kekurangan volume pekerjaan dan u[ah yang tidak di bayar   sebesar Rp3.755.000,00</t>
  </si>
  <si>
    <t>Terdapat kekurangan volume pada belanja keramik   sebesar Rp929.500,00</t>
  </si>
  <si>
    <t>Terdapat  kekurangan volume pekerjaan pada bebrapa kegiatan pemeliharaan taman  sebesar Rp7.706.365,00</t>
  </si>
  <si>
    <t>Terdapat  kekurangan volume pekerjaan pada bebrapa kegiatan pemeliharaan gedung  sebesar Rp8.330.892,00</t>
  </si>
  <si>
    <t>TEMUAN 3</t>
  </si>
  <si>
    <t>Terdapat  kegiatan pemeliharaan sarana dan prasarana olahraga dilaksanakan sebesar Rp25.000.000,00</t>
  </si>
  <si>
    <t>Terdapat  kekurangan volume belanja penyediaan bahan pemeliharaan konstruksi bangunan  sebesar Rp18.000.000,00</t>
  </si>
  <si>
    <t>VI</t>
  </si>
  <si>
    <t>700/034-P4D/LHP/INPTD/2018
(Tgl. 28 Mei 2018)</t>
  </si>
  <si>
    <t>Terdapat beberapa item pekerjaan yang tidak dilaksanakan dan kekurangan volume pekerjaan pemeliharaan gedung kantor  sebesar Rp35.268.055,00</t>
  </si>
  <si>
    <t>TEMUAN 4</t>
  </si>
  <si>
    <t>VII</t>
  </si>
  <si>
    <t>DANA BOS TINGKAT SATUAN PENDIDIKAN WIL. KAB. BANGKA SELATAN T.A. 2017</t>
  </si>
  <si>
    <t>700/033-P4D/LHP/INPTD/2018
(Tgl. 04 Juni 2018)</t>
  </si>
  <si>
    <t>Terdapat Belanja Barang Jasa pada Kegiatan
 peningkatan fungsi pelayanan KBM tidak sesuai
 ketentuan sebesar Rp18.508.00,00</t>
  </si>
  <si>
    <t>TEMUAN No. 1</t>
  </si>
  <si>
    <t>Terdapat pembayaran  Belanja seragam Kegiatan 
sekolah tidak sesuai ketentuan sebesar Rp9.750.000,00</t>
  </si>
  <si>
    <t>Terdapat kelebihan pembayaran  pembelian alat 
paratikum olahraga sebesar Rp4.000.000,00</t>
  </si>
  <si>
    <t>Terdapat kelebihan pembayaran  pembelian Kostum tari sebesar Rp5.000.000,00</t>
  </si>
  <si>
    <t>TEMUAN No. 2</t>
  </si>
  <si>
    <t>Terdapat  kekurangan volume pembelian barang /
jasa sebesar Rp750.000,00</t>
  </si>
  <si>
    <t>Terdapat kemahalan harga  pembayaran meja 
kursi  sebesar Rp12.000.000,00</t>
  </si>
  <si>
    <t>Terdapat  kekurangan volume pekerjaan 
pemeliharaan Veneu / Sarana dan prasarana olahraga sebesar Rp4.000.000,00</t>
  </si>
  <si>
    <t>Terdapat kelebihan  pembayaran pekerjaan 
pemeliharaan peralatan dan gedung sekolah  sebesar Rp8.918.000,00</t>
  </si>
  <si>
    <t>VIII</t>
  </si>
  <si>
    <t>DINAS LINGKUNGAN PANGAN</t>
  </si>
  <si>
    <t>700/047-P4D/LHP/INPTD/2018
(Tgl. 25 Juni 2018)</t>
  </si>
  <si>
    <t>Terdapat kemahalan harga pekerjaan kandang pada kegiatan peralatan ternak sebesar Rp8.685.800,00</t>
  </si>
  <si>
    <t>TEMUAN No. 13</t>
  </si>
  <si>
    <t>40</t>
  </si>
  <si>
    <t>Terdapat kemahalan harga ayam pada pengadaan peralatan ternak sebesar Rp2.175.000,00</t>
  </si>
  <si>
    <t>TEMUAN No. 14</t>
  </si>
  <si>
    <t>Terdapat pengadaan mesin tetas tidak dapat dimanfaatkan  sebesar Rp4.140.000,00</t>
  </si>
  <si>
    <t>TEMUAN No. 15</t>
  </si>
  <si>
    <t>IX</t>
  </si>
  <si>
    <t>700/042-P4D/LHP/INPTD/2018
(Tgl. 29 Juni 2018)</t>
  </si>
  <si>
    <t>Terdapat kelebihan  Pembayaran pengadaan 
barang/jasa  sebesar Rp3.964.000,00</t>
  </si>
  <si>
    <t>Terdapat hutang perhitungan fihak ketiga (PFK) beberapa kegiatan belum disetor ke kas daerah</t>
  </si>
  <si>
    <t>TEMUAN No. 3</t>
  </si>
  <si>
    <t xml:space="preserve">BELUM
</t>
  </si>
  <si>
    <t>Terdapat kelebihan  belanja barang/jasa  sebesar Rp13.500.000,00</t>
  </si>
  <si>
    <t>TEMUAN No. 7</t>
  </si>
  <si>
    <t>X</t>
  </si>
  <si>
    <t>BIRO UMUM SETDA PROVINSI</t>
  </si>
  <si>
    <t>700/062-P4D/LHP/INPTD/2018
(Tgl. 03 Agustus 2018)</t>
  </si>
  <si>
    <t>Terdapat kekurangan volume pekerjaan interior gedung kantor sebesar Rp36.177.300,00</t>
  </si>
  <si>
    <t>Terdapat kekurangan volume pekerjaan
 pemeliharaan gedung kantor (pembuatan kanopi 
kantor) sebesar Rp15.994.400,00</t>
  </si>
  <si>
    <t>TEMUAN No. 4</t>
  </si>
  <si>
    <t>XI</t>
  </si>
  <si>
    <t>DANA HIBAH BANSOS PEMPROV KEP. BANGKA BELITUNG DI WIL.KAB. BANGKA BARAT TA 2017</t>
  </si>
  <si>
    <t>700/081-P4D/LHP/INPTD/2018
(Tgl. 14 September 2018)</t>
  </si>
  <si>
    <t>Terdapat dokumen pertanggungjawaban keuangan
 yang tidak dapat di yakin kebenaranya pada SMK 
Muhammadiyah Muntok  sebesar Rp4.030.000,00</t>
  </si>
  <si>
    <t>Terdapat dokumen pertanggungjawaban keuangan
 yang tidak dapat di yakin kebenaranya pada 
Madrasah Aliyah Miftahul Jannah Rp200.000,00</t>
  </si>
  <si>
    <t>Terdapat volume pengadaan sarana dan prasarana 
sekolah SMK Muhammadiyah Muntok  sebesar 
Rp1.155.000,00</t>
  </si>
  <si>
    <t>Terdapat volume pengadaan sarana dan prasarana 
sekolah Madrasah Aliyah Ikhlas Beramal   sebesar 
Rp1.250.000,00</t>
  </si>
  <si>
    <t>Terdapat kelebihan pembayaran pengadaan peralatan Marching Band  sebesar Rp1.190.000,00</t>
  </si>
  <si>
    <t>TEMUAN No. 6</t>
  </si>
  <si>
    <t>XII</t>
  </si>
  <si>
    <t>700/082-P4D/LHP/INPTD/2018
(Tgl. 14 September 2018)</t>
  </si>
  <si>
    <t>Terdapat bukti pertanggungjawaban keuangan pihak CV. Muara Konsultan yang tidak dapat diterima kebenarannya sebesar Rp3.250.000,00</t>
  </si>
  <si>
    <t>XIII</t>
  </si>
  <si>
    <t>700/093-P4D/LHP/INPTD/2018
(Tgl. 05 Oktober 2018)</t>
  </si>
  <si>
    <t>Terdapat kekurangan volume pekerjaan pemeliharaan ged. kantor (Wisma Ranggam) sebesarRp3.682.635,00</t>
  </si>
  <si>
    <t>TEMUAN No. 10</t>
  </si>
  <si>
    <t>Terdapat kemahalan harga perlengkapan 
pakaian dinas harian  sebesar Rp1.370.040,00</t>
  </si>
  <si>
    <t>TEMUAN No. 11</t>
  </si>
  <si>
    <t>XIV</t>
  </si>
  <si>
    <t>DINAS PENDIDIKAN (BIDANG SMA DAN SMK)</t>
  </si>
  <si>
    <t>700/100-P4D/LHP/INPTD/2018
(Tgl. 05 November 2018)</t>
  </si>
  <si>
    <t>Terdapat sewa sound sintem kegiatan peningkatan 
kualitas kesiswaan SMA yang tidak sesuai peruntukannya   sebesar Rp7.500.000,00</t>
  </si>
  <si>
    <t>Terdapat kekurangan volume pekerjaan Rehab 
SMK Negeri I Sungailiat  sebesar Rp5.728.313.43</t>
  </si>
  <si>
    <t>TEMUAN No. 5</t>
  </si>
  <si>
    <t>XV</t>
  </si>
  <si>
    <t>700/092-P4D/LHP/INPTD/2018
(Tgl. 15 November 2018)</t>
  </si>
  <si>
    <t>Terdapat kelebihan pembayaran Pekerjaan Pemasangan Pengeboran Air Manual   sebesar Rp2.000.000,00</t>
  </si>
  <si>
    <t>Terdapat kelebihan pembayaran Belanja Jasa Pemeliharaan Tanaman  sebesar Rp5.000.000,00</t>
  </si>
  <si>
    <t>Terdapat kelebihan pembayaran belaja desinfektan 
Melebihi Ketentuan  sebesar Rp5.800.000,00</t>
  </si>
  <si>
    <t>XVI</t>
  </si>
  <si>
    <t>DINAS PUPR BIDANG BINA MARGA</t>
  </si>
  <si>
    <t>700/111-P4D/LHP/INPTD/2018
(Tgl. 03 Desember 2018)</t>
  </si>
  <si>
    <t>Terdapat kelebihan  pembayaran   sebesar Rp7.276.300,00 pada kegiatan peningkatan jalan Parit Tiga- Tanjung RU dan hasil pekerjaan yang belum optimal</t>
  </si>
  <si>
    <t>BELUM
(LUNAS 24/01/2019)</t>
  </si>
  <si>
    <t>XVII</t>
  </si>
  <si>
    <t>RSJ DAERAH PROVINSI KEPULAUAN BANGKA BELITUNG</t>
  </si>
  <si>
    <t>700/110-P4D/LHP/INPTD/2018
(Tgl. 07 Desember 2018)</t>
  </si>
  <si>
    <t>Terdapat kekurangan volume pekerjaan pemeliharaan pada kegiatan Pemeliharaan Rutin/Berkala T.A. 2017 dan T.A. 2018 sebesar Rp.16.989.983,00</t>
  </si>
  <si>
    <t>a. kekurangan volume pekerjaan pada kegiatan pemeliharaan rutin/berkala Taman, Tempat 
Parkir dan halaman kantor T.A. 2017</t>
  </si>
  <si>
    <t>CV. Ataya</t>
  </si>
  <si>
    <t>b. kekurangan volume pekerjaan pada kegiatan pemeliharaan rutin/berkala Ruang Rawat 
Rumah Sakit T.A. 2017</t>
  </si>
  <si>
    <t>CV. Krensa Utama</t>
  </si>
  <si>
    <t>c. kekurangan volume pekerjaan pada
kegiatan pemeliharaan rutin/berkala 
Rumah Sakit T.A. 2018</t>
  </si>
  <si>
    <t>CV. Trijaya Mandiri</t>
  </si>
  <si>
    <t>Terdapat kelebihan pembayaran atas kegiatan pengadaan barang/ jasa T.A. 2017 dan kegiatan pemeliharaan T.A. 2018</t>
  </si>
  <si>
    <t>a. kelebihan  pembayaran atas kegiatan Pemeliharaan Gedung Kantor RSJD T.A. 2018</t>
  </si>
  <si>
    <t>PT. Madhava Maju Makmur</t>
  </si>
  <si>
    <t>b. kelebihan  pembayaran atas kegiatan Pemeliharaan Gedung Kantor RSJD T.A. 2018</t>
  </si>
  <si>
    <t>XVIII</t>
  </si>
  <si>
    <t>DINAS PUPR BIDANG SUMBER DAYA AIR</t>
  </si>
  <si>
    <t>700/112-P4D/LHP/INPTD/2018
(Tgl. 07 Desember 2018)</t>
  </si>
  <si>
    <t>Terdapat Beberapa Pekerjaan Konstruksi Belum Optimal dan Kekurangan Volume Pekerjaan Pasangan Batu Belah Pembangunan Talud Air Nangka I Kota Pangkalpinang Tahun 2018 yang Dilaksanakan Oleh CV.Rova Berjaya Rp1.090.351,60</t>
  </si>
  <si>
    <t xml:space="preserve">
BELUM
</t>
  </si>
  <si>
    <t>Terdapat  Kekurangan Volume Pada Beberapa Pekerjaan Normalisasi/Saluran/Pengerukan Banjir Tahun 2017 yang Dilaksanakan Oleh CV.Darvin Jaya dan CV. Tri Putra Karya sebesar Rp2.258.631,00</t>
  </si>
  <si>
    <t>Terdapat  Kekurangan Volume Pada Beberapa Pekerjaan Normalisasi/Saluran/Pengerukan Banjir Tahun 2017 yang Dilaksanakan Oleh CV.Darvin Jaya dan CV. Tri Putra Karya sebesar Rp2.524.637,00</t>
  </si>
  <si>
    <t>Terdapat Beberapa Pekerjaan  Belum Optimal dan Kekurangan Volume Pekerjaan Normalisasi Saluran Banjir Dusun Satu Desa Serdang Kabupaten Bangka Selatan Tahun 2018 Yang Dilaksanakan   Oleh CV.Lintas Persada Rp3.402.330,00</t>
  </si>
  <si>
    <t>Terdapat  Kekurangan Volume  Pekerjaan Normalisasi/Saluran/Pengerukan Banjir Dusun Sigambir Desa Duren Kabupaten Bangka Tahun 2018 yang Dilaksanakan Oleh CV.Upaya sebesar Rp7.406.908,00</t>
  </si>
  <si>
    <t>TEMUAN No. 8</t>
  </si>
  <si>
    <t>A.</t>
  </si>
  <si>
    <t>JUMLAH TEMUAN PEMERIKSAAN INSPEKTORAT</t>
  </si>
  <si>
    <t>77.C/LHP/XVIII.PPG/05/2018
(Tgl. 24 Mei 2018)</t>
  </si>
  <si>
    <t>Kelebihan Pembayaran Biaya Personil dan Biaya Non Personil atas Dua Pekerjaan Jasa Konsultansi pada Dinas Perhubungan Senilai Rp118.780.000,00</t>
  </si>
  <si>
    <t>Penyusunan rencana induk lalu lintas angkutan jalan</t>
  </si>
  <si>
    <t>DISHUB</t>
  </si>
  <si>
    <t>11 Mei 2018</t>
  </si>
  <si>
    <t>Survei fasilitas keselamatan jalan</t>
  </si>
  <si>
    <t>Kelebihan Pembayaran Biaya Personil dan Non Personil atas Pekerjaan Jasa Konsultansi reviu DED  gedung B pada Rumah Sakit Umum Daerah Dr. (H.C.) Ir. Soekarno Senilai Rp45.244.700,00</t>
  </si>
  <si>
    <t>26 Juli 2018</t>
  </si>
  <si>
    <t>Kelebihan Pembayaran Biaya Non Personil atas Pekerjaan Jasa Konsultansi Penyusunan Rencana Rinci Kawasan Pelabuhan dan Industri Sadai pada Dinas Pekerjaan Umum dan Penataan Ruang Senilai Rp92.799.100,00</t>
  </si>
  <si>
    <t>DINAS PUPR</t>
  </si>
  <si>
    <t>Kelebihan Pembayaran Kegiatan Belanja Barang Untuk Diserahkan kepada Masyarakat pada Dinas Perumahan Rakyat dan Kawasan Pemukiman Senilai Rp30.168.000,00</t>
  </si>
  <si>
    <t>Kelebihan Pembayaran Kegiatan Belanja Barang Untuk Diserahkan kepada Masyarakat pada Dinas Pekerjaan Umum dan Penataan Ruang Senilai Rp72.527.000,00</t>
  </si>
  <si>
    <t>Pembangunan jalan komplek Brimob Bangka Belitung</t>
  </si>
  <si>
    <t>Pengaspalan jalan Klenteng Sheng Mu Miao</t>
  </si>
  <si>
    <t>Kekurangan Volume atas 21 Paket Pekerjaan Peningkatan dan Pemeliharan Jalan pada Bidang Bina Marga Dinas Pekerjaan Umum dan Penataan Ruang Senilai Rp800.710.000,00</t>
  </si>
  <si>
    <t>PT. BHSC</t>
  </si>
  <si>
    <t>PT. KMN</t>
  </si>
  <si>
    <t>PT. BPK</t>
  </si>
  <si>
    <t>PT. KB</t>
  </si>
  <si>
    <t>PT. LIM</t>
  </si>
  <si>
    <t>PT. BCK</t>
  </si>
  <si>
    <t>PT. SMA</t>
  </si>
  <si>
    <t>PT. ABP</t>
  </si>
  <si>
    <t>PT. AKI</t>
  </si>
  <si>
    <t>PT. BRP</t>
  </si>
  <si>
    <t>PT. BCA</t>
  </si>
  <si>
    <t>PT. BAB</t>
  </si>
  <si>
    <t>PT. BCP</t>
  </si>
  <si>
    <t>Kekurangan Volume atas 8 Paket Pembangunan Jembatan pada Bidang Bina Marga Dinas Pekerjaan Umum dan Penataan Ruang Senilai Rp434.276.000,00</t>
  </si>
  <si>
    <t>Kekurangan Volume atas Pekerjaan Peningkatan Jaringan Irigasi D.I. Buleng pada Bidang Sumber Daya Air Dinas Pekerjaan Umum dan Penataan Ruang Senilai Rp44.007.000,00</t>
  </si>
  <si>
    <t>Denda Keterlambatan Belum Ditetapkan dan Dipungut atas Pengadaan Alat GPS Geodetic pada Dinas Pekerjaan Umum dan Penataan Ruang Senilai Rp21.808.710,00</t>
  </si>
  <si>
    <t>Kesalahan Penganggaran dan Kekurangan Volume atas Pekerjaan Peningkatan/Pembangunan Jalan Lingkungan Dermaga Polair Kawasan Air Anyir pada Dinas Perumahan Rakyat dan Kawasan Permukiman Senilai Rp2.429.000,00</t>
  </si>
  <si>
    <t>DINAS PERKIM</t>
  </si>
  <si>
    <t>Kekurangan Volume atas Pekerjaan Pembangunan Gedung Rawat Jalan (DAK) pada Rumah Sakit Jiwa Daerah Senilai Rp73.455.000,00</t>
  </si>
  <si>
    <t>RSJD</t>
  </si>
  <si>
    <t>Kekurangan Volume atas Pekerjaan Pemantapan Daerah landasan Pacu bandara H.A.S. Hanandjoeddin Timbunan Tanah Pilihan (Lanjutan) Dinas Perhubungan Senilai Rp105.504.000,00</t>
  </si>
  <si>
    <t>Kekurangan Volume dan Kelebihan Pembayaran atas Pekerjaan Pembangunan Gedung VIP Bandara Depati Amir (Lanjutan) pada Dinas Perhubungan Senilai Rp387.988.000,00 dan Denda Keterlambatan Belum Dipungut Senilai Rp598.295.424,00</t>
  </si>
  <si>
    <t>Harga satuan pekerjaan lama yang tidak sesuai ketentuan</t>
  </si>
  <si>
    <t>Kurang volume pembangunan gedung VIP bandar udara depati amir</t>
  </si>
  <si>
    <t>Denda Keterlambatan atas Pekerjaan Pembangunan Gedung VIP Bandara Depati Amir (Lanjutan) pada Dinas Perhubungan Belum Dipungut Senilai Rp598.295.424,00</t>
  </si>
  <si>
    <t>Kelebihan Pembayaran atas Pekerjaan Pengawasan Pembangunan Gedung VIP Bandar Udara Depati Amir (Lanjutan) pada Dinas Perhubungan Senilai Rp114.610.000,00</t>
  </si>
  <si>
    <t xml:space="preserve">JUMLAH TEMUAN PEMERIKSAAN BPK RI </t>
  </si>
  <si>
    <t>TOTAL PEMBEBANAN s.d. TAHUN SEBELUMNYA</t>
  </si>
  <si>
    <t>1.  TEMUAN BPK (2001-2016)</t>
  </si>
  <si>
    <t>2.  TEMUAN INPTD (2003-2017)</t>
  </si>
  <si>
    <t>TOTAL/AKUMULASI PEMBEBANAN s.d. TAHUN 2018
(C + D)</t>
  </si>
  <si>
    <t>Saldo Penerimaan s.d. Desember 2018 
atas pembebanan Tahun sebelumnya 
(Pembebanan Tahun 2016 ke bawah) dan Total Saldo TGR</t>
  </si>
  <si>
    <t>PEMBEBANAN TUNTUTAN GANTI RUGI BAGI PEGAWAI NON BENDAHARA</t>
  </si>
  <si>
    <t>TTL PENGEMBALIAN
(s.d. 31 Des.2018)
(Rp.)</t>
  </si>
  <si>
    <t>ANGSURAN PENGEMBALIAN
(s.d. 31 DESEMBER 2018)
(Rp.)</t>
  </si>
  <si>
    <t>700/011-P4D/ LHP/ INPTD/2018
(Tgl. 05 April 2018)</t>
  </si>
  <si>
    <t>Terdapat kelebihan pembayaran honorarium sebesar Rp 7.535.000,00</t>
  </si>
  <si>
    <t>TEMUAN NO.6</t>
  </si>
  <si>
    <t>Terdapat kelebihan pembayaran belanja perjalanan dinas luar daerah nara sumber sebesar Rp 800.000,00</t>
  </si>
  <si>
    <t>TEMUAN NO.7</t>
  </si>
  <si>
    <t>Terdapat kelebihan belanja dokumentasi kegiatan sebesar Rp 225.000,00</t>
  </si>
  <si>
    <t>TEMUAN NO.8</t>
  </si>
  <si>
    <t>Terdapat pembayaran honorarium tidak sesuai ketentuan sebesar Rp 8.427.500,00</t>
  </si>
  <si>
    <t>TEMUAN NO.9</t>
  </si>
  <si>
    <t>Terdapat kelebihan pembayaran  perjalanan dinas luar daerah untuk uang taksi Rp 3.924.000,00</t>
  </si>
  <si>
    <t>TEMUAN NO.10</t>
  </si>
  <si>
    <t>Terdapat kelebihan pembayaran belanja perjalanan dinas luar daerah  sebesar Rp 6.854.280,00</t>
  </si>
  <si>
    <t>TEMUAN NO.11</t>
  </si>
  <si>
    <t>Terdapat  belanja perjalanan dinas Dalam daerah tidak sesuai Pagu Anggaran dokumen pelaksanaan perubahan anggaran satuan kerja perangkat daerah (DPPA SKPD)  sebesar Rp970.000,00</t>
  </si>
  <si>
    <t>TEMUAN NO.12</t>
  </si>
  <si>
    <t>DABA KEU. PEMPROV. KEP. BANGKA BELITUNG PADA PEMKAB. BANGKA TENGAH T.A. 2017</t>
  </si>
  <si>
    <t>700/019-P4D/LHP/INPTD/2018
(Tgl. 05 April 2018)</t>
  </si>
  <si>
    <t>Terdapat pengadaan alat peraga Inklusi tidak 
csesuai dengan kondisi fisik di lapangan sebesar Rp 4.786.500,00</t>
  </si>
  <si>
    <t>TEMUAN NO.1</t>
  </si>
  <si>
    <t>HIBAH DAN BANSOS KEPADA MASYARAKAT DAN ORMAS TAHUN 2017 DI WIL. KAB. BANGKA TENGAH</t>
  </si>
  <si>
    <t>700/013-P4D/LHP/INPTD/2018
(Tgl. 06 April 2018)</t>
  </si>
  <si>
    <r>
      <rPr>
        <sz val="12"/>
        <color indexed="8"/>
        <rFont val="Arial Narrow"/>
        <family val="2"/>
      </rPr>
      <t>Terdapat Kelebihan Pembayaran Pembangunan Asrama Santri pada Yayasan Husnul Muhibbin Kemuja Sebesar Rp400.000,00</t>
    </r>
    <r>
      <rPr>
        <sz val="12"/>
        <color indexed="8"/>
        <rFont val="Arial Narrow"/>
        <family val="2"/>
      </rPr>
      <t>.</t>
    </r>
  </si>
  <si>
    <t>HIBAH DAN BANSOS PEMPROV. KEPULAUAN BANGKA BELITUNG T.A. 2017 DI WILAYAH KOTA PANGKALPINANG</t>
  </si>
  <si>
    <t>700/016-P4D/LHP/INPTD/2018
(Tgl. 09 April 2018)</t>
  </si>
  <si>
    <t xml:space="preserve">Terdapat Kelebihan Belanja Makan Minum 
Kegiatan Pada Lembaga Pengembangan
 Tilawatil Qur’an (LPTQ) Tingkat Prov.Kepulauan 
Bangka Belitung Sebesar Rp1.300.000,00. </t>
  </si>
  <si>
    <t>Terdapat belanja evaluasi kegiatan &amp; pelaporan
tidak dapat dipertanggungjawabkan sebesar
 Rp450.000,00</t>
  </si>
  <si>
    <t>DANA BOS TINGKAT SATUAN PENDIDIKAN WILAYAH KABUPATEN BANGKA T.A. 2017</t>
  </si>
  <si>
    <t>700/029-P4D/LHP/INPTD/2018
(Tgl. 04 Mei 2018)</t>
  </si>
  <si>
    <t>Terdapat kelebihan  pembayaran pada belanja pendaftaran   sebesar Rp1.835.000,00</t>
  </si>
  <si>
    <t>TEMUAN NO. 4</t>
  </si>
  <si>
    <t>Terdapat kelebihan  pembayaran spanduk   sebesar Rp400.000,00</t>
  </si>
  <si>
    <t>Terdapat kelebihan  pembayaran pada belanja pakaian olahraga   sebesar Rp6.750.000,00</t>
  </si>
  <si>
    <t>Terdapat pengeluaran belanja yang tidak dapat dipertanggungjawabkan   sebesar Rp12.226.200,00</t>
  </si>
  <si>
    <t>Terdapat  belanja yang tidak diketahui kebenarannya  sebesar Rp4.650.000,00</t>
  </si>
  <si>
    <t>Terdapat pengeluaran belanja yang tidak dapat dipertanggungjawabkan   sebesar Rp10.410.000,00</t>
  </si>
  <si>
    <t>TEMUAN NO. 10</t>
  </si>
  <si>
    <t>Terdapat pengeluaran dana bos tahun anggaran 2017 tidak efektif  sebesar Rp1.650.000,00</t>
  </si>
  <si>
    <t>TEMUAN NO. 5</t>
  </si>
  <si>
    <t>Terdapat  pembayaran honorarium pelatih /pembimbing tidak sesuai ketentuan   sebesar Rp8.299.000,00</t>
  </si>
  <si>
    <t>Terdapat  kesalahan penjumlahan pada kuitansi pertanggungjawaban   sebesar Rp244.480,00</t>
  </si>
  <si>
    <t>Terdapat  kelebihan pembayaran pada belanja pendaftaran   sebesar Rp450.000,00</t>
  </si>
  <si>
    <t>Terdapat  kelebihan pertanggungjawaban   sebesar Rp5.725.446,00</t>
  </si>
  <si>
    <t>Terdapat  kesalahan penjumlahan pada kuitansi pertanggungjawaban   sebesar Rp3.750.000,00</t>
  </si>
  <si>
    <t>Terdapat  kelebihan pembayaranpada belanja transport pembina/pelatih kegiatan ekstrakulikuler  sebesar p4.400.000,00</t>
  </si>
  <si>
    <t>Terdapat pengeluaran belanja yang tidak di dukung dengan bukti yang lengkap dan sah   sebesar Rp31.884.240,00</t>
  </si>
  <si>
    <t>Terdapat pengeluaran belanja yang tidak dapat dipertanggungjawabkan  sebesar Rp3.487.000,00</t>
  </si>
  <si>
    <t>Terdapat  kelebihan pembayaran biaya perjalanan dinas   sebesar Rp495.000,00</t>
  </si>
  <si>
    <t>Terdapat  pembayaran perjalanan dinas tidak dapat dipertanggungjawabkan   sebesar Rp1.860.000,00</t>
  </si>
  <si>
    <t>Terdapat kelebihan pembayaran uang penginapan    sebesar Rp200.000,00</t>
  </si>
  <si>
    <t>Terdapat belanja pemeliharaan mebeulir tidak dilaksanakan   sebesar Rp5.000.000,00</t>
  </si>
  <si>
    <t>Terdapat kelebihan pembayaran perjalanan dinas   sebesar Rp1.227.000,00</t>
  </si>
  <si>
    <t>DANA BOS TINGKAT SATUAN PENDIDIKAN WILAYAH KABUPATEN BANGKA TENGAH
 T.A. 2017</t>
  </si>
  <si>
    <t>700/028-P4D/LHP/INPTD/2018
(Tgl. 07 Mei 2018)</t>
  </si>
  <si>
    <t>Terdapat kelebihan pembayaran honorarium Tim 
Pelaksana kegiatan sebesar Rp3.660.000,00</t>
  </si>
  <si>
    <t>TEMUAN NO.3</t>
  </si>
  <si>
    <t>DABA UNTUK PENINGKATAN FUNGSI PELAYANAN KBM dan DANA BOS TINGKAT SAT. PENDIDIKAN WIL. KOTA PANGKALPINANG
 T.A. 2017</t>
  </si>
  <si>
    <t>700/027-P4D/LHP/INPTD/2018
(Tgl. 14 Mei 2018)</t>
  </si>
  <si>
    <t>Terdapat belanja yang tidak sesuai peruntukkannya  sebesar Rp300.000,00</t>
  </si>
  <si>
    <t>Terdapat belanjaTrasport panitia BOS tahun 2016 dan 2017 tidak dapat dipertanggungjawabkan sebesar Rp16.540.000,00</t>
  </si>
  <si>
    <t>Terdapat kekurangan pengadaan volume cetak sebesar Rp5.720.000,00</t>
  </si>
  <si>
    <t>Terdapat pembayaran honorarium guru tidak tetap
 tidak sesuai ketentuan sebesar Rp1.800.000,00</t>
  </si>
  <si>
    <t>Terdapat belanja trasportasi alat sound system 
penyelenggaraan kegiatan tidak sesuai ketentuan sebesar Rp300.000,00</t>
  </si>
  <si>
    <t xml:space="preserve">Terdapat belanja alat jaringan listrik tidak dapat dipertanggungjawabkan sebesar Rp3.948.000,00 </t>
  </si>
  <si>
    <t xml:space="preserve">pembayaran belanja jasa tenaga ahli/ Instruktur/
Narasumber/Moderator tidak sesuai ketentuan </t>
  </si>
  <si>
    <t>Terdapat beberapa buku teks pelajaran bagi peserta didik dan buku pegangan bagi guru yang diterima hasil pengadaan dalam kondisi rusak</t>
  </si>
  <si>
    <t>Terdapat kelebihan bayar pada pekerjaan pemeliharaan uang UKS sebesar Rp4.800.000,00</t>
  </si>
  <si>
    <t>Terdapat kelebihan pembayaran belanja makanan dan minuman kegiatan sebesar Rp500.000,00</t>
  </si>
  <si>
    <t>Terdapat  kelebihan belanja bahan bakar minyak  sebesar Rp760.000,00</t>
  </si>
  <si>
    <t>Terdapat  belanja akomodasi kegiatan yang tidak diperbolehkan  sebesar Rp1.700.000,00</t>
  </si>
  <si>
    <t>Terdapat  kemahalan harga pada beberapa belanja   sebesar Rp3.430.000,00</t>
  </si>
  <si>
    <t>Terdapat  kelebihan pembayaran honorarium guru tidak tetap(GTT)   sebesar Rp1.200.000,00</t>
  </si>
  <si>
    <t>Terdapat  kegiatan tahun anggaran 2016 dibayarkan dengan anggaran tahun 2017  sebesar Rp1.008.000,00</t>
  </si>
  <si>
    <t>Terdapat  kelebihan pembayaran biaya transportasi  sebesar Rp20.136.000,00</t>
  </si>
  <si>
    <t>Terdapat  kelebihan bayar belanja perlengkapan peserta  sebesar Rp1.975.000,00</t>
  </si>
  <si>
    <t>Terdapat  kelebihan pembayaran honorarium guru tidak tetap (GTT)  sebesar Rp3.840.000,00</t>
  </si>
  <si>
    <t>Terdapat  Pembayaran atas beberapa belanja tidak sesuai ketentuan  sebesar Rp6.720.000,00</t>
  </si>
  <si>
    <t>Terdapat belanja suku cadang kendaraan dinas tidak sesuai ketentuan sebesar Rp1.300.000,00</t>
  </si>
  <si>
    <t>Terdapat belanja kegiatan melebihi pagu anggaran dan tidak sesuai peruntukkan  sebesar Rp4.165.000,00</t>
  </si>
  <si>
    <t>Terdapat kelibihan pembayaran gaji pokok 2 (dua) orang pegawai negeri sipil  sebesar Rp2.035.200,00</t>
  </si>
  <si>
    <t>TEMUAN 7</t>
  </si>
  <si>
    <t>Terdapat pembayaran tunjangan jabatan struktural tidak sesuai ketentuan   sebesar Rp2.060.000,00</t>
  </si>
  <si>
    <t>TEMUAN 9</t>
  </si>
  <si>
    <t>Terdapat kelebihan pembayaran honorarium tidak sesuai ketentuan  sebesar Rp10.227.500,00</t>
  </si>
  <si>
    <t>TEMUAN 13</t>
  </si>
  <si>
    <t>Terdapat kemahalan harga penggandaan Kegiatan Peningkatan Fungsi Pelayanan KBM sebesar Rp1.232.500,00</t>
  </si>
  <si>
    <t>Terdapat Kelebihan pembayaran bahan obat-obatan (P3K) sebesar Rp5.618.000,00</t>
  </si>
  <si>
    <t>Terdapat pembayaran honorarium Pemeriksa
 Barang dan Jasa tidak sesuai ketentuan sebesar Rp4.800.000,00</t>
  </si>
  <si>
    <t>Terdapat pembayaran Transport pemeliharaan 
website sekolah tidak sesuai peruntukkan  sebesar 
Rp1.250.000,00</t>
  </si>
  <si>
    <t>Terdapat  pembayaran belanja seragam sepak bola tidak sesuai ketentuan sebesar Rp1.600.000,00</t>
  </si>
  <si>
    <t>Terdapat kelebihan  pembayaran perjalanan Dinas  
sebesar Rp600.000,00</t>
  </si>
  <si>
    <t>Terdapat kelebihan  pembayaran sewa mobil 
sebesar Rp1.500.000,00</t>
  </si>
  <si>
    <t>700/035-P4D/LHP/INPTD/2018
(Tgl. 04 Juni 2018)</t>
  </si>
  <si>
    <t>Terdapat Pembayaran biaya perjalanan dinas tidak sesuai ketentuan  sebesar Rp3.075.000,00</t>
  </si>
  <si>
    <t>Terdapat perbedaan harga  Pembayaran belanja 
surat kabar/majalah  sebesar Rp600.000,00</t>
  </si>
  <si>
    <t>Terdapat kelebihan  Pembayaran honorarium   
sebesar Rp3.066.500,00</t>
  </si>
  <si>
    <t>DINAS KEARSIPAN DAN PERPUSTAKAAN</t>
  </si>
  <si>
    <t>700/036-P4D/LHP/INPTD/2018
(Tgl. 04 Juni 2018)</t>
  </si>
  <si>
    <t>Terdapat anak PNS yang usianya diatas 25 tahun masih masuk tunjangan anak dalam gaji sebesar Rp4.030.504,00</t>
  </si>
  <si>
    <t>Terdapat belanja makan minum tidak didukung dengan bukti yang lengkap dan sah sebesar Rp740.000,00</t>
  </si>
  <si>
    <t>Terdapat belanja sewa ruang rapat/pertemuan 
tidak dapat dipertanggungjawabkan  
sebesar Rp1.000.000,00</t>
  </si>
  <si>
    <t>Terdapat belanja dokumentasi tidak sesuai 
ketentuan  sebesar Rp150.000,00</t>
  </si>
  <si>
    <t>Terdapat kemahalan harga atas beberapa belanja 
kegiatan sebesar Rp2.590.775,00</t>
  </si>
  <si>
    <t>Terdapat kelebihan belanja perlengkapan peserta 
kegiatan  sebesar Rp225.000,00</t>
  </si>
  <si>
    <t>Terdapat kelebihan pembayaran pada beberapa kegiatan  sebesar Rp18.751.150,00</t>
  </si>
  <si>
    <t>DINAS LINGKUNGAN HIDUP</t>
  </si>
  <si>
    <t>700/045-P4D/LHP/INPTD/2018
(Tgl. 25 Juni 2018)</t>
  </si>
  <si>
    <t>Terdapat kelebihan pembayaran biaya perjalanan 
dinas  sebesar Rp1.950.000,00</t>
  </si>
  <si>
    <t>Terdapat kelebihan pembayaran honorarium 
narasumber Workshop dn seminar Rp2.095.000,00</t>
  </si>
  <si>
    <t>Terdapat kelebihan pembayaran honorarium 
pengurus barang dan pembantu pengurus barang  
sebesar Rp1.020.000,00</t>
  </si>
  <si>
    <t>Terdapat kelebihan pembayaran belanja perjalanan dinas dalam daerah sebesar Rp2.100.000,00</t>
  </si>
  <si>
    <t>Terdapat kelebihan sewa kendaraan roda 4 (empat) sebesar Rp4.000.000,00</t>
  </si>
  <si>
    <t>Terdapat kelebihan honorarium panitia pelaksana kegiatan sebesar Rp1.520.000,00</t>
  </si>
  <si>
    <t>Terdapat kelebihan honorarium narasumber daerah sebesar Rp522.500,00</t>
  </si>
  <si>
    <t>TEMUAN No. 9</t>
  </si>
  <si>
    <t>Terdapat kelebihan pembayaran biaya trasportasi belanaj perjalanan dinas dalam daerah sebesar Rp400.000,00</t>
  </si>
  <si>
    <t>Terdapat kelebihan pembayaran belanja bahan bacaan sebesar Rp945.000,00</t>
  </si>
  <si>
    <t>Terdapat kelebihan pembayaran belanja bahan bacaan sebesar Rp693.000,00</t>
  </si>
  <si>
    <t>TEMUAN No. 12</t>
  </si>
  <si>
    <t>Belanja pemeliharaan kendaraan dinas /operasional tidak dapat dipertanggungjawabkan sebesar  Rp4.840.000,00</t>
  </si>
  <si>
    <t>Belanja kegiatan launching PORPROV tahun 2018 tidak dapat dipertanggungjawabkan Rp3.300.000,00</t>
  </si>
  <si>
    <t>BELUM
(lunas  di Jan 2019)</t>
  </si>
  <si>
    <t>Terdapat kelebihan  belanja barang beberapa kegiatan tahun anggaran 2017 Rp8.498.000,00</t>
  </si>
  <si>
    <t>700/044-P4D/LHP/INPTD/2018
(Tgl. 29 Juni 2018)</t>
  </si>
  <si>
    <t>Terdapat kelebihan pembayaran perjalanan dinas   sebesar Rp1.000.000,00</t>
  </si>
  <si>
    <t>Terdapat belanja kegiatan Bimtek pemberdayaan satuan linmas dalam menunjang terwujudnya Trantib Swakarsa tidak sesuai ketentuan   sebesar Rp5.280.000,00</t>
  </si>
  <si>
    <t>Terdapat kelebihan pembayaran honorarium panitia pelaksana pada beberapa kegiatan  sebesar Rp5.784.800,00</t>
  </si>
  <si>
    <t>Terdapat kelebihan pembayaran honorarium panitia pelaksanakegiatan pengadaan kendaraan dinas/operasional  sebesar Rp340.000,00</t>
  </si>
  <si>
    <t>XIX</t>
  </si>
  <si>
    <t>DINAS TENAGA KERJA</t>
  </si>
  <si>
    <t>700/043-P4D/LHP/INPTD/2018
(Tgl. 02 Juli 2018)</t>
  </si>
  <si>
    <t>Terdapat kelebihan pembayaran honorarium panitia pelaksana kegiatan  sebesar Rp7.700.000,00</t>
  </si>
  <si>
    <t>Terdapat kelebihan pembayaran perjalanan dinas dalam daerah  sebesar Rp2.000.000,00</t>
  </si>
  <si>
    <t>XX</t>
  </si>
  <si>
    <t>700/046-P4D/LHP/INPTD/2018
(Tgl. 03 Juli 2018)</t>
  </si>
  <si>
    <t>Terdapat Pembayaran honorarium panitia pelaksana kegiatan tidak sesuai ketentuan  sebesar Rp13.135.500,00</t>
  </si>
  <si>
    <t>Terdapat kelebihan  Pembayaran belanja 
perlengkapan peserta sebesar Rp350.000,00</t>
  </si>
  <si>
    <t>Terdapat Pembayaran honorarium moderator tidak 
sesuai ketentuan sebesar Rp595.000,00</t>
  </si>
  <si>
    <t>Terdapat Pembayaran honorarium instruktur 
uji keterampilan mengemudi tidak sesuai ketentuan 
sebesar Rp2.300.000,00</t>
  </si>
  <si>
    <t>Terdapat Pembayaran biaya penginapan tidak
 sesuai ketentuan sebesar Rp816.000,00</t>
  </si>
  <si>
    <t>Terdapat Pembayaran biaya taxi tidak sesuai 
ketentuan sebesar Rp180.589,00</t>
  </si>
  <si>
    <t>Terdapat kelebihan Pembayaran honorarium pada kegiatan penyusunan dokumen perencanaan perangkat daerah sebesar Rp24.705.000,00</t>
  </si>
  <si>
    <t>/    /2018</t>
  </si>
  <si>
    <t>Terdapat   Pembayaran honorarium panitia pelaksana kegiatan tidak sesuai ketentuan sebesar Rp4.025.000,00</t>
  </si>
  <si>
    <t>Terdapat   Pembayaran perjalanan dinas tidak sesuai ketentuan sebesar Rp502.030,00</t>
  </si>
  <si>
    <t>XXI</t>
  </si>
  <si>
    <t>BADAN PENGHUBUNG</t>
  </si>
  <si>
    <t>700/052-P4D/LHP/INPTD/2018
(Tgl. 23 Juli 2018)</t>
  </si>
  <si>
    <t>Terdapat kelebihan pembayaran belanja makanan dan minuman  sebesar Rp47.500.000,00</t>
  </si>
  <si>
    <t>Terdapat Pembayaran belanja perjalanan dinas yang tidak sah sebesar Rp6.363.000,00</t>
  </si>
  <si>
    <t>Terdapat belanja perjalanan dinas luar daerah tidak di dukung dengan bukti yang lengkap   sebesar Rp564.000,00</t>
  </si>
  <si>
    <t>Terdapat kelebihan pembayaran belanja perjalanan dinas   sebesar Rp200.000,00</t>
  </si>
  <si>
    <t>Terdapat perjalanan dinas kediklatan tidak sesuai ketentuan sebesar Rp13.150.000,00</t>
  </si>
  <si>
    <t>Terdapat belanja kegiatan yang tidak sesuai 
peruntukkan  sebesar Rp4.068.000,00</t>
  </si>
  <si>
    <t>XXII</t>
  </si>
  <si>
    <t>BIRO HUKUM SETDA PROVINSI</t>
  </si>
  <si>
    <t>700/054-P4D/LHP/INPTD/2018
(Tgl. 23 Juli 2018)</t>
  </si>
  <si>
    <t>Terdapat kelebihan pembayaran tunj. keluarga
 yang menjadi tanggungan dalam daftar gaji  sebesar Rp8.050.060,00</t>
  </si>
  <si>
    <t>XXIII</t>
  </si>
  <si>
    <t>BIRO PEREKONOMIAN SETDA PROVINSI</t>
  </si>
  <si>
    <t>700/055-P4D/LHP/INPTD/2018
(Tgl. 25 Juli 2018)</t>
  </si>
  <si>
    <t>Terdapat Pembayaran biaya penginapan melebihi 
ketentuan yang berlaku sebesar Rp105.000,00</t>
  </si>
  <si>
    <t>XXIV</t>
  </si>
  <si>
    <t>BIRO KESRA SETDA PROVINSI</t>
  </si>
  <si>
    <t>700/061-P4D/LHP/INPTD/2018
(Tgl. 30 Juli 2018)</t>
  </si>
  <si>
    <t>Terdapat kelebihan pembayaran belanja pengadaan pakaian seragam panitia dan panitera kegiatan sebesar Rp1.921.932,00</t>
  </si>
  <si>
    <t>Terdapat kelebihan pembayaran belanja makanan dan minuman kegiatan sebesar Rp3.409.091,00</t>
  </si>
  <si>
    <t>Terdapat satuan harga belanja pengadaan 
perlengkapan melebihi standar satuan harga 
belanja pegawai dan jasa Rp2.727.272,00</t>
  </si>
  <si>
    <t>Terdapat kelebihan jumlah pengadaan barang 
pembelian tas kafilah  sebesar Rp1.227.273,00</t>
  </si>
  <si>
    <t>Terdapat kelebihan pembayaran belanja sewa 
tenda sebesar Rp1.500.000,00</t>
  </si>
  <si>
    <t>Terdapat kelebihan pembayaran belanja biaya 
perjalanan dinas dalam daerah Rp990.000,00</t>
  </si>
  <si>
    <t>XXV</t>
  </si>
  <si>
    <t>700/053-P4D/LHP/INPTD/2018
(Tgl. 01 Agustus 2018)</t>
  </si>
  <si>
    <t>Terdapat kelebihan pembayaran biaya sewa kursi dan sewa kendaraan sebesar Rp1.500.000,00</t>
  </si>
  <si>
    <t>Terdapat kelebihan pembayaran honorarium sebesar Rp9.005.000,00</t>
  </si>
  <si>
    <t>XXVI</t>
  </si>
  <si>
    <t>BIRO HUMAS DAN PROTOKOL SETDA PROVINSI</t>
  </si>
  <si>
    <t>700/056-P4D/LHP/INPTD/2018
(Tgl. 02 Agustus 2018)</t>
  </si>
  <si>
    <t>Terdapat kelebihan pembayaran belanja bahan 
bacaan koran babel news,Bangka Pos, Babel Pos 
dan Rakyat Pos sebesar Rp4.921.500,00</t>
  </si>
  <si>
    <t>Terdapat kelebihan pembayaran belanja cetak sebesar Rp25.890.750,00</t>
  </si>
  <si>
    <t>Terdapat belanja plakat yang pertanggungjawaban terlalu tinggi sebesar Rp11.250.000,00</t>
  </si>
  <si>
    <t>Terdapat belanja paket meeting dan belanja cetak 
dipertanggungjawabkan terlalu tinggi dari harga 
sebenarnya sebesar Rp12.395.000,00</t>
  </si>
  <si>
    <t>Terdapat pertanggungjawaban belanja paket meeting melebihi standar harga/biaya sebesar Rp3.000.000,00</t>
  </si>
  <si>
    <t>Terdapat kemahalan harga belanja tas souvenir
 (paper bag) sebesar Rp20.250.000,00</t>
  </si>
  <si>
    <t>Terdapat kemahalan harga belanja cetak sebesar
 Rp4.300.000,00</t>
  </si>
  <si>
    <t>Terdapat kelebihan pembayaran biaya taxi 
sebesar Rp436.260,00</t>
  </si>
  <si>
    <t>XXVII</t>
  </si>
  <si>
    <t>BIRO PEMERINTAHAN SETDA PROVINSI</t>
  </si>
  <si>
    <t>700/058-P4D/LHP/INPTD/2018
(Tgl. 02 Agustus 2018)</t>
  </si>
  <si>
    <t>Terdapat kelebihan pembayaran tunjangan anak yang menjadi tanggungan dalam daftar gaji  sebesar Rp1.256.262,00</t>
  </si>
  <si>
    <t>Terdapat belanja makanan dan minuman tidak dapat dipertanggungjawabkan sebesar Rp2.700.000,00</t>
  </si>
  <si>
    <t>XXVIII</t>
  </si>
  <si>
    <t>Terdapat kelebihan pembayaran belanja makanan dan minuman tamu tahun anggaran 2018 sebesar Rp1.510.000,00</t>
  </si>
  <si>
    <t>XXIX</t>
  </si>
  <si>
    <t>700/080-P4D/LHP/INPTD/2018
(Tgl. 14 September 2018)</t>
  </si>
  <si>
    <t>Terdapat kelebihan pembayaran perjalanan Dinas Luar Daerah, Honorarium pelaksana kegiatan dan uang makan pegawai negeri sebesar Rp1.901.000,00</t>
  </si>
  <si>
    <t>XXX</t>
  </si>
  <si>
    <t>Terdapat ketidakpatutan dalam pembayaran biaya 
perjalanan dinas dalam daerah sebesar 
Rp1.000.000,00</t>
  </si>
  <si>
    <t>Terdapat pengeluaran anggaran kas tidak tepat 
sasaran dan kurang efisien Rp.1.110.000,00</t>
  </si>
  <si>
    <t>XXXI</t>
  </si>
  <si>
    <t>Terdapat penggunaan bantuan pendidikan Inklusi jenjang SMP/MTS untuk pembayaran honorarium kepanitiaan yang tidak sesuai ketentuan sebesar Rp531.250,00</t>
  </si>
  <si>
    <t>XXXII</t>
  </si>
  <si>
    <t xml:space="preserve">SEKRETARIAT DPRD PROVINSI </t>
  </si>
  <si>
    <t>700/086-P4D/LHP/INPTD/2018
(Tgl. 05 Oktober 2018)</t>
  </si>
  <si>
    <t>Terdapat kegiatan tidak sesuai ketentuan  sebesar Rp28.851.050,00</t>
  </si>
  <si>
    <t>XXXIII</t>
  </si>
  <si>
    <t>700/089-P4D/LHP/INPTD/2018
(Tgl. 05 Oktober 2018)</t>
  </si>
  <si>
    <t>Terdapat kelebihan pembayaran honorarium   sebesar Rp6.297.500,00</t>
  </si>
  <si>
    <t>Terdapat  pembayaran perjalanan dinas dalam daerah tidak memenuhi kriteria yang di persyaratkan    sebesar Rp1.000.000,00</t>
  </si>
  <si>
    <t>Terdapat kelebihan  pembayaran tunjangan anak yang melebuhi batas usia sebesar Rp1.256.262,00</t>
  </si>
  <si>
    <t>XXXIV</t>
  </si>
  <si>
    <t>700/090-P4D/LHP/INPTD/2018
(Tgl. 05 Oktober 2018)</t>
  </si>
  <si>
    <t>Terdapat kelebihan pembayaran honorarium Staf Pelaksana Kegiatan sebesar Rp10.716.000,00</t>
  </si>
  <si>
    <t>Terdapat pembayaran honorarium panitia pelaksana kegiatan melebihi standar satuan harga belanja pegawai dan jasa  sebesar Rp7.084.750,00</t>
  </si>
  <si>
    <t>Terdapat kelebihan belanja perjalanan dinas  sebesa Rp17.015.000,00</t>
  </si>
  <si>
    <t>XXXV</t>
  </si>
  <si>
    <t>BADAN PENANGGULANGAN BENCANA DAERAH</t>
  </si>
  <si>
    <t>700/091-P4D/LHP/INPTD/2018
(Tgl. 05 Oktober 2018)</t>
  </si>
  <si>
    <t>Terdapat pembayaran belanja honorarium panitia pelaksana kegiatan Tahun Anggaran 2017  tidak sesuai ketentuan sebesar Rp14.710.000,00</t>
  </si>
  <si>
    <t>XXXVI</t>
  </si>
  <si>
    <t>Terdapat kelebihan  pembayaran belanja perjalanan dinas luar daerah   sebesar Rp2.366.600,00</t>
  </si>
  <si>
    <t>Terdapat kelebihan  belanja makan dan minuman rapat   sebesar Rp700.000,00</t>
  </si>
  <si>
    <t>Terdapat kelebihan pembayaran  belanja
 publikasi (baleho)  sebesar Rp2.065.000,00</t>
  </si>
  <si>
    <t>Terdapat kelebihan  pembayaran belanja 
 perjalanan dinas dalam daerah  Rp805.000,00</t>
  </si>
  <si>
    <t>Terdapat kelebihan  pembayaran belanja  pakaian 
seragam panitia  sebesar Rp1.090.909,00</t>
  </si>
  <si>
    <t>XXXVII</t>
  </si>
  <si>
    <t>700/087-P4D/LHP/INPTD/2018
(Tgl. 08 Oktober 2018)</t>
  </si>
  <si>
    <t>Terdapat biaya perjalanan dinas tidak di dukung dengan bukti-bukti yang relevan dan kompoten  sebesar Rp572.000,00</t>
  </si>
  <si>
    <t>Terdapat kelebihan pembayaran honoraium  sebesar Rp2.015.000,00</t>
  </si>
  <si>
    <t>XXXVIII</t>
  </si>
  <si>
    <t>BAKUDA BID. PAJAK, RETRIBUSI DAN PENDAPATAN LAIN-LAIN</t>
  </si>
  <si>
    <t>700/108-P4D/LHP/INPTD/2018
(Tgl. 09 Oktober 2018)</t>
  </si>
  <si>
    <t>Terdapat  pembayaran belanja  honorarium panitia 
pelaksana kegiatan tidak sesuai ketentuan  
sebesar Rp4.154.000,00</t>
  </si>
  <si>
    <t>XXXIX</t>
  </si>
  <si>
    <t>700/085-P4D/LHP/INPTD/2018
(Tgl. 12 Oktober 2018)</t>
  </si>
  <si>
    <t>Terdapat kelebihan   pembayaran kas  yang melebihi standart satuan harga  sebesar Rp5.140.500,00</t>
  </si>
  <si>
    <t>XL</t>
  </si>
  <si>
    <t>Terdapat kelebihan pembayaran sewa kamar 
kegiatan peningkatan kualitas ksesiswaaan SMA  
sebesar Rp6.000.000,00</t>
  </si>
  <si>
    <t>Terdapat kelebihan pembayaran honorarium 
Moderator  sebesar Rp390.000,00</t>
  </si>
  <si>
    <t>XLI</t>
  </si>
  <si>
    <t>BAKUDA BID. AKUNTANSI DAN PELAPORAN SERTA BIDANG ASET DAERAH</t>
  </si>
  <si>
    <t>700/102-P4D/LHP/INPTD/2018
(Tgl. 05 November 2018)</t>
  </si>
  <si>
    <t>Terdapat kelebihan pembayaran honoraium staf pelaksana kegiatan   sebesar Rp6.627.200,00</t>
  </si>
  <si>
    <t>Terdapat kelebihan pembayaran belanja perjalanan dinas   sebesar Rp912.476,00</t>
  </si>
  <si>
    <t>Terdapat  pembayaran honorarium Moderator melebihi standar satuan harga belanja pegawai dan jasa    sebesar Rp760.000,00</t>
  </si>
  <si>
    <t>Terdapat kelebihan pembayaran belnja dokumntasi 
kegiatan  sebesar Rp775.000,00</t>
  </si>
  <si>
    <t>XLII</t>
  </si>
  <si>
    <t>BAKUDA BIDANG SEKRETARIAT</t>
  </si>
  <si>
    <t>700/103-P4D/LHP/INPTD/2018
(Tgl. 05 November 2018)</t>
  </si>
  <si>
    <t>Terdapat kelebihan pembayaranpemeliharaan kendaraan dinas   sebesar Rp478.000,00</t>
  </si>
  <si>
    <t>XLIII</t>
  </si>
  <si>
    <t>BAKUDA BID. ANGGARAN SERTA BIDANG PERBENDAHARAAN DAN VERIFIKASI</t>
  </si>
  <si>
    <t>700/107-P4D/LHP/INPTD/2018
(Tgl. 05 November 2018)</t>
  </si>
  <si>
    <t>Terdapat kelebihan pembayaran honorarium sebesar Rp800.000,00</t>
  </si>
  <si>
    <r>
      <rPr>
        <sz val="12"/>
        <color indexed="8"/>
        <rFont val="Arial Narrow"/>
        <family val="2"/>
      </rPr>
      <t xml:space="preserve">BELUM
</t>
    </r>
    <r>
      <rPr>
        <i/>
        <sz val="12"/>
        <color indexed="8"/>
        <rFont val="Arial Narrow"/>
        <family val="2"/>
      </rPr>
      <t>(dIlunasI  29 Jan'19)</t>
    </r>
  </si>
  <si>
    <t>Terdapat pembayaran uang saku peserta tidak di pungut PPh pasal 21   sebesar Rp1.098.250,00</t>
  </si>
  <si>
    <t>XLIV</t>
  </si>
  <si>
    <t>DINAS PENDIDIKAN BID. SEKRETARIAT, BID. PEMBINAAN PENDIDIKAN KHUSUS, BID. GURU DAN TENAGA KEPENDIDIKAN</t>
  </si>
  <si>
    <t>700/099-P4D/LHP/INPTD/2018
(Tgl. 06 November 2018)</t>
  </si>
  <si>
    <t>Terdapat kelebihan biaya perjalanan dinas luar daerah   sebesar Rp1.094.265,00</t>
  </si>
  <si>
    <t>Terdapat kelebihan pembayaran honorarium 
Moderator   sebesar Rp360.000,00</t>
  </si>
  <si>
    <t>Terdapat belanja sewa kamar staf pengelola yang
 tidak seharusnya dikeluarkan Rp2.400.000,00</t>
  </si>
  <si>
    <t>XLV</t>
  </si>
  <si>
    <t>Terdapat kelebihan pembayaran Transportasi    sebesar Rp9.500.000,00</t>
  </si>
  <si>
    <t>Terdapat kelebihan pembayaran belanja 
dokumentasi kegiatan  sebesar Rp250.000,00</t>
  </si>
  <si>
    <t>XLVI</t>
  </si>
  <si>
    <t>DINAS PUPR BIDANG PENATAAN RUANG DAN PERTANAHAN</t>
  </si>
  <si>
    <t>700/114-P4D/LHP/INPTD/2018
(Tgl. 30 November 2018)</t>
  </si>
  <si>
    <t>Terdapat kelebihan  pembayaran biaya Mobilitas Sewa Kendaraan  sebesar Rp8.873.000,00</t>
  </si>
  <si>
    <t>Terdapat  pembayaran uang harian peserta Focus group Discusion (FGD) yang tidak dapat dipertanggungjawabkan   sebesar Rp360.000,00</t>
  </si>
  <si>
    <t>Terdapat  pembayaran honorarium Moderator tidak sesuai ketentuan   sebesar Rp190.000,00</t>
  </si>
  <si>
    <t>XLVII</t>
  </si>
  <si>
    <t>RSUD Dr (HC) Ir. SOEKARNO PROVINSI KEPULAUAN BANGKA BELITUNG</t>
  </si>
  <si>
    <t>700/109-P4D/LHP/INPTD/2018
(Tgl. 07 Desember 2018)</t>
  </si>
  <si>
    <t>Terdapat kelebihan  pembayaran   belanja perjalanan dinas luar daerah Rp.450.000,00</t>
  </si>
  <si>
    <t>Yurzali, S.H.</t>
  </si>
  <si>
    <t>Terdapat kelebihan  pembayaran dan inefisiensi belanja jasa service peralatan dan perlengkapan kantor (pemeliharaan alat-alat elektronik) sebesar Rp.4.100.000,00</t>
  </si>
  <si>
    <t>Taufik, S.H.</t>
  </si>
  <si>
    <t>XLVIII</t>
  </si>
  <si>
    <t>700/116-P4D/LHP/INPTD/2018
(Tgl. 12 Desember 2018)</t>
  </si>
  <si>
    <t>Terdapat kelebihan pembayaran Honorarium Kegiatan dan Narasumber  sebesar Rp1.440.000,00</t>
  </si>
  <si>
    <t>XLIX</t>
  </si>
  <si>
    <t>DINAS KOMUNIKASI DAN INFORMASI</t>
  </si>
  <si>
    <t>700/118-P4D/LHP/INPTD/2018
(Tgl. 24 Desember 2018)</t>
  </si>
  <si>
    <t>Terdapat kelebihan pembayaran Tunjangan Keluarga yang menjadi Tanggungan dalam daftar gaji sebesar  sebesar Rp2.009.520,00</t>
  </si>
  <si>
    <t>Terdapat Pembayaran Honorarium Panitia Pelaksana Beberapa kegiatan Tahun Anggaran 2017 dan 2018 tidak sesuai ketentuan sebesar  Rp3.665.000,00</t>
  </si>
  <si>
    <t>Terdapat Pembayaran Honorarium Narasumber dan Moderator Melebihi Standart Satuan Harga Belanja Pegawai dan Jasa sebesar  Rp3.145.000,00</t>
  </si>
  <si>
    <t xml:space="preserve">B. LAPORAN HASIL TEMUAN PEMERIKSAAN BPK RI </t>
  </si>
  <si>
    <t xml:space="preserve">Kelebihan pembayaran honorarium Tim Kegiatan Penyusunan Dokumen Perencanaan dan Anggaran Perangkat Daerah pada (10) Sepuluh OPD senilai Rp.186.706.500 </t>
  </si>
  <si>
    <t>BPBD</t>
  </si>
  <si>
    <t>Dinas Kebudayaan dan Pariwisata</t>
  </si>
  <si>
    <t>20 Juli 2018</t>
  </si>
  <si>
    <t>Dinas KUKM</t>
  </si>
  <si>
    <t>15 Mei 2018</t>
  </si>
  <si>
    <t>Dinas Pemberdayaan Masyarakat dan Desa</t>
  </si>
  <si>
    <t>04 Juli 2018</t>
  </si>
  <si>
    <t>Dinas ESDM</t>
  </si>
  <si>
    <t>DPMPTSP</t>
  </si>
  <si>
    <t>14 Mei 2018</t>
  </si>
  <si>
    <t>DLH</t>
  </si>
  <si>
    <t>Kelebihan Pembayaran Belanja Pegawai atas Nama Sdr. S pada Dewan Perwakilan Rakyat Daerah (DPRD) Senilai Rp49.414.757,00</t>
  </si>
  <si>
    <t>ANGGOTA DPRD an. SISWANTO</t>
  </si>
  <si>
    <t>Kelebihan Pembayaran Belanja Bahan Bakar Minyak (BBM) atas Penggunaan Kendaraan Dinas pada Sekretariat DPRD senilai Rp24.684.000,00</t>
  </si>
  <si>
    <t>23 Juli 2018</t>
  </si>
  <si>
    <t>25 Juli 2018</t>
  </si>
  <si>
    <t>07 Agustus 2018</t>
  </si>
  <si>
    <t>Saldo Penerimaan s.d. Desember 2018 
atas pembebanan Tahun sebelumnya 
(Pembebanan Tahun 2017 ke bawah) dan Total Saldo TGR</t>
  </si>
  <si>
    <t>PROVINSI KEPULAUAN BANGKA BELITUNG</t>
  </si>
  <si>
    <t>DAFTAR PENYISIHAN PIUTANG TAK TERTAGIH ATAS PIUTANG RETRIBUSI PER 31 DESEMBER 2018</t>
  </si>
  <si>
    <t>NO.</t>
  </si>
  <si>
    <t>KUALITAS PIUTANG</t>
  </si>
  <si>
    <t>PENYISIHAN PIUTANG</t>
  </si>
  <si>
    <t>KUALITAS LANCAR</t>
  </si>
  <si>
    <t>KUALITAS KURANG LANCAR</t>
  </si>
  <si>
    <t>KUALITAS DIRAGUKAN</t>
  </si>
  <si>
    <t>KUALITAS MACET</t>
  </si>
  <si>
    <t>0 - 1 BULAN</t>
  </si>
  <si>
    <t>1 - 3 BULAN</t>
  </si>
  <si>
    <t>3 - 12 BULAN</t>
  </si>
  <si>
    <t>LEBIH DARI 12 BULAN</t>
  </si>
  <si>
    <t>PIUTANG RETRIBUSI BLHD</t>
  </si>
  <si>
    <t>PIUTANG RETRIBUSI DINAS PEMUDA DAN OLAHRAGA</t>
  </si>
  <si>
    <t>Piutang Sewa GOR Kejuaraan Daerah</t>
  </si>
  <si>
    <t>0 - 12 BULAN</t>
  </si>
  <si>
    <t>13- 24 BULAN</t>
  </si>
  <si>
    <t>25- 48 BULAN</t>
  </si>
  <si>
    <t>LEBIH DARI 48 BULAN</t>
  </si>
  <si>
    <t>PIUTANG RETRIBUSI RSUP</t>
  </si>
  <si>
    <t>BPJS Kesehatan Rawat Jalan Oktober-Desember 2017 (Pending)</t>
  </si>
  <si>
    <t>BPJS Kesehatan Rawat Inap Oktober-Desember 2017 (Pending)</t>
  </si>
  <si>
    <t>PIUTANG RETRIBUSI RSJP</t>
  </si>
  <si>
    <t>PASIEN UMUM TAHUN 2015</t>
  </si>
  <si>
    <t>Mr. X / Alpian</t>
  </si>
  <si>
    <t>PASIEN UMUM TAHUN 2016</t>
  </si>
  <si>
    <t>Raimor Alam</t>
  </si>
  <si>
    <t>PASIEN UMUM TAHUN 2018</t>
  </si>
  <si>
    <t xml:space="preserve">Arfandi, SE </t>
  </si>
  <si>
    <t>PASIEN JAMINAN TAHUN 2015</t>
  </si>
  <si>
    <t>Rosidi</t>
  </si>
  <si>
    <t>PASIEN IPWL TAHUN 2018</t>
  </si>
  <si>
    <t>Rehabilitasi Rawat Inap Bagi Pasien Sukarela bulan Okt 2018</t>
  </si>
  <si>
    <t>DAFTAR PENYISIHAN PIUTANG TAK TERTAGIH ATAS BAGIAN LANCAR PENJUALAN ANGSURAN DAN PIUTANG LAINNYA</t>
  </si>
  <si>
    <t>BAGIAN LANCAR TUNTUTAN GANTI RUGI</t>
  </si>
  <si>
    <t xml:space="preserve">TAHUN 2001 </t>
  </si>
  <si>
    <t>BIRO UMUM SETDA</t>
  </si>
  <si>
    <t>TAHUN 2003</t>
  </si>
  <si>
    <t>Pertanggungjawaban biaya operasional dan tunjangan pemeliharaan kesehatan Pimpinan dan Anggota DPRD serta realisasi pengeluaran pada Unit Kerja Gubernur/Wakil Gubernur dan Sekretaris Daerah tidak didukung bukti yang cukup sebesar Rp4,251,075,700.00</t>
  </si>
  <si>
    <t>DINAS PERHUBUNGAN DAN PARIWISATA</t>
  </si>
  <si>
    <t>DINAS PERMUKIMAN DAN PRASARANA WILAYAH (PEKERJAAN UMUM)</t>
  </si>
  <si>
    <t>TAHUN 2004</t>
  </si>
  <si>
    <t xml:space="preserve">Penyelesaian kegiatan belanja modal tahun 2004 terlambat dari batas waktu yang ditetapkan dalam kontrak dan belum dikenakan denda keterlambatan sebesar Rp.363,786,305.00 </t>
  </si>
  <si>
    <t>TAHUN 2005</t>
  </si>
  <si>
    <t xml:space="preserve">DPPKAD </t>
  </si>
  <si>
    <t>Kemahalan harga atas beberapa pengadaan barang pemerintah senilai Rp.110,885,000.00.</t>
  </si>
  <si>
    <t>BADAN KESATUAN BANGSA POLITIK DAN PERLINDUNGAN MASYARAKAT</t>
  </si>
  <si>
    <t>BADAN PEMBERDAYAAN MASYARAKAT DAN PEMERINTAHAN DESA</t>
  </si>
  <si>
    <t xml:space="preserve">Terdapat Pengajuan SPP dan GU/TU dan Penerbitan SP2Dnya Tidak Ada atau Kurang Bukti Pertanggungjawaban Sebesar Rp361.701.400,00 </t>
  </si>
  <si>
    <t>TAHUN 2007</t>
  </si>
  <si>
    <t>DPPKAD :</t>
  </si>
  <si>
    <t>TAHUN 2008</t>
  </si>
  <si>
    <t>SEKRETARIAT DPRD :</t>
  </si>
  <si>
    <t>DINAS PEKERJAAN UMUM</t>
  </si>
  <si>
    <t>TAHUN 2010</t>
  </si>
  <si>
    <t>DINAS PEKERJAAN UMUM :</t>
  </si>
  <si>
    <t>TAHUN 2014</t>
  </si>
  <si>
    <t>BIRO KESEJAHTERAAN RAKYAT SETDA :</t>
  </si>
  <si>
    <t>DINAS PENDAPATAN PENGELOLAAN KEUANGAN DAN ASSET DAERAH :</t>
  </si>
  <si>
    <t>TAHUN 2015</t>
  </si>
  <si>
    <t>BPPTPM (KASUS)</t>
  </si>
  <si>
    <t>KANTOR SATUAN POLISI PAMONG PRAJA :</t>
  </si>
  <si>
    <t>DINAS TENAGA KERJA DAN TRANSMIGRASI :</t>
  </si>
  <si>
    <t>TAHUN 2016</t>
  </si>
  <si>
    <t>DINAS PEMUDA DAN OLAHRAGA</t>
  </si>
  <si>
    <t>Kelebihan Pembayaran Senilai Rp296.454.000,00,- atas Realisasi Belanja Modal dan Belanja Pemeliharaanpada Lima SKPD</t>
  </si>
  <si>
    <t>TAHUN 2017</t>
  </si>
  <si>
    <t>DANA HIBAH &amp; BANSOS KAB. BANGKA
PADA BIRO KESRA SETDA PROV. BABEL</t>
  </si>
  <si>
    <t>DABA KAB. BANGKA BARAT</t>
  </si>
  <si>
    <t>DINAS KELAUTAN &amp; PERIKANAN</t>
  </si>
  <si>
    <t>PAMJAB DINAS PEMBERDAYAAN PEREMPUAN &amp; PERLINDUNGAN ANAK/KB</t>
  </si>
  <si>
    <t>Dinas PUPR (SEKRETARIAT)</t>
  </si>
  <si>
    <t>DABA KEUANGAN PROVINSI BID. PENDIDIKAN PADA KOTA PANGKALPINANG</t>
  </si>
  <si>
    <t>Dinas PUPR (BIDANG SUMBER DAYA AIR)</t>
  </si>
  <si>
    <t>DAK DINAS PENDIDIKAN 
SEKOLAH MENENGAH ATAS</t>
  </si>
  <si>
    <t>Belanja Modal pada Lima SKPD Kekurangan Volume dan Kelebihan Pembayaran Senilai Rp815.967.000,00</t>
  </si>
  <si>
    <t>DABA BOS DAN DANA PENINGKATAN FUNGSI PELAYANAN KBM PEMPROV KEP. BANGKA BELITUNG PADA KAB. BELITUNG TIMUR</t>
  </si>
  <si>
    <t>PIUTANG LAINNYA</t>
  </si>
  <si>
    <t>Piutang Lainnya DINAS PEKERJAAN UMUM</t>
  </si>
  <si>
    <t>Piutang BLUD RSJ</t>
  </si>
  <si>
    <t>DAFTAR RINCIAN PERSEDIAAN</t>
  </si>
  <si>
    <t>No</t>
  </si>
  <si>
    <t>Nama OPD</t>
  </si>
  <si>
    <t>ATK</t>
  </si>
  <si>
    <t>DOKUMEN/ADM TENDER</t>
  </si>
  <si>
    <t>ALAT LISTRIK</t>
  </si>
  <si>
    <t>PERANGKO/MATERAI/BENDA POS LAINNYA</t>
  </si>
  <si>
    <t>PERALATAN KEBERSIHAN</t>
  </si>
  <si>
    <t>BBM/GAS</t>
  </si>
  <si>
    <t>TABUNG PEMADAM KEBAKARAN</t>
  </si>
  <si>
    <t>TABUNG GAS</t>
  </si>
  <si>
    <t>BARANG CETAKAN</t>
  </si>
  <si>
    <t>BAHAN BAKU BANGUNAN</t>
  </si>
  <si>
    <t>BAHAN/BIBIT TANAMAN</t>
  </si>
  <si>
    <t>BIBIT TERNAK</t>
  </si>
  <si>
    <t>OBAT-OBATAN</t>
  </si>
  <si>
    <t>BAHAN KIMIA</t>
  </si>
  <si>
    <t>BAHAN MAKANAN POKOK</t>
  </si>
  <si>
    <t>BARANG YANG AKAN DIBERIKAN PADA PIHAK KETIGA</t>
  </si>
  <si>
    <t>Rumah Sakit Umum Provinsi</t>
  </si>
  <si>
    <t>Rumah Sakit Jiwa</t>
  </si>
  <si>
    <t>Dinas Pekerjaan Umum dan Penataan Ruang</t>
  </si>
  <si>
    <t>Dinas Perumahan Rakyat dan Kawasan Permukiman</t>
  </si>
  <si>
    <t>Badan Kesatuan Bangsa dan Politik</t>
  </si>
  <si>
    <t>Kantor Satuan Polisi Pamong Praja</t>
  </si>
  <si>
    <t>Badan Penanggulangan Bencana Daerah</t>
  </si>
  <si>
    <t xml:space="preserve"> </t>
  </si>
  <si>
    <t>Dinas Sosial</t>
  </si>
  <si>
    <t xml:space="preserve">Dinas Tenaga Kerja </t>
  </si>
  <si>
    <t>Dinas P3CSKB</t>
  </si>
  <si>
    <t>Dinas Pangan</t>
  </si>
  <si>
    <t>Dinas Perhubungan</t>
  </si>
  <si>
    <t>Dinas Komunikasi dan Informatika</t>
  </si>
  <si>
    <t>Dinas Koperasi, UKM</t>
  </si>
  <si>
    <t>DP2TPM</t>
  </si>
  <si>
    <t>Dinas Pemuda dan Olahraga</t>
  </si>
  <si>
    <t>Dinas Kearsipan dan Perpustakaan</t>
  </si>
  <si>
    <t>Dinas Pertanian</t>
  </si>
  <si>
    <t>Badan Perencanaan Pembangunan dan Penelitian Pengembangan Daerah</t>
  </si>
  <si>
    <t>Badan Keuangan Daerah</t>
  </si>
  <si>
    <t>BKPSDM</t>
  </si>
  <si>
    <t>Inspektorat Daerah</t>
  </si>
  <si>
    <t>Sekretariat Daerah</t>
  </si>
  <si>
    <t>Sekretariat DPRD</t>
  </si>
  <si>
    <t>LAPORAN REALISASI KUPEM</t>
  </si>
  <si>
    <t>WILAYAH LAYANAN</t>
  </si>
  <si>
    <t>JUMLAH DEBITUR</t>
  </si>
  <si>
    <t>PINJAMAN POKOK</t>
  </si>
  <si>
    <t xml:space="preserve">BUNGA </t>
  </si>
  <si>
    <t>TOTAL PINJAMAN (POKOK+BUNGA)</t>
  </si>
  <si>
    <t>SISA PINJAMAN</t>
  </si>
  <si>
    <t>JUMLAH SETORAN</t>
  </si>
  <si>
    <t>SISA POKOK</t>
  </si>
  <si>
    <t>SISA BUNGA</t>
  </si>
  <si>
    <t xml:space="preserve"> TOTAL SISA PINJAMAN (SISA POKOK + SISA BUNGA)</t>
  </si>
  <si>
    <t>...S.D DES 2018</t>
  </si>
  <si>
    <t>6=(4+5)</t>
  </si>
  <si>
    <t>9=(7+8)</t>
  </si>
  <si>
    <t xml:space="preserve">BRI CABANG TANJUNG PANDAN </t>
  </si>
  <si>
    <t>A. KABUPATEN BELITUNG</t>
  </si>
  <si>
    <t>B. BELITUNG TIMUR</t>
  </si>
  <si>
    <t xml:space="preserve">BRI CABANG SUNGAILIAT </t>
  </si>
  <si>
    <t>A. KABUPATEN BANGKA</t>
  </si>
  <si>
    <t>B. KABUPATEN BANGKA BARAT</t>
  </si>
  <si>
    <t>BRI CABANG PANGKALPINANG</t>
  </si>
  <si>
    <t>A. KOTA PANGKALPINANG</t>
  </si>
  <si>
    <t>B. KABUPATEN BANGKA SELATAN</t>
  </si>
  <si>
    <t>C. KABUPATEN BANGKA TENGAH</t>
  </si>
  <si>
    <t xml:space="preserve">JUMLAH </t>
  </si>
  <si>
    <t>( % )</t>
  </si>
  <si>
    <t>CATATAN :</t>
  </si>
  <si>
    <t xml:space="preserve">Daftar Debitur yang sudah dinyatakan lunas pada laporan BRI Cabang Tanjung Pandan per 31 Desember 2017, tapi masih tercatat pada laporan BRI dengan rincian sebagai berikut: </t>
  </si>
  <si>
    <t>B.</t>
  </si>
  <si>
    <t>Daftar Debitur yang salah hitung bunga pada laporan BRI Cabang Tanjung Pandan berdasarkan hasil verifikasi Dinas Sosial atas laporan BRI Cabang Tanjung Pandan, yakni :</t>
  </si>
  <si>
    <t>Yuhendi (167)</t>
  </si>
  <si>
    <t>14.</t>
  </si>
  <si>
    <t>Fitrianingsih (9)</t>
  </si>
  <si>
    <t>Senen Seman (188)</t>
  </si>
  <si>
    <t>15.</t>
  </si>
  <si>
    <t>Robiyati (21)</t>
  </si>
  <si>
    <t>Firmawan Diputra (19) seharusnya Rp 540.000,- pada laporan BRI Rp 2.340.000,-</t>
  </si>
  <si>
    <t>Asnah Dahyar (189)</t>
  </si>
  <si>
    <t>16.</t>
  </si>
  <si>
    <t>Zainuri (70)</t>
  </si>
  <si>
    <t>Carmitasari (235) seharusnya Rp 540.000,- pada laporan BRI Rp 2.340.000,-</t>
  </si>
  <si>
    <t>Kasman (197)</t>
  </si>
  <si>
    <t>17.</t>
  </si>
  <si>
    <t>Muchtar Efendi (83)</t>
  </si>
  <si>
    <t>Hamsiah (373) seharusnya Rp 540.000,- pada laporan BRI Rp 1.080.000,-</t>
  </si>
  <si>
    <t>Zulfan Zakir (198)</t>
  </si>
  <si>
    <t>18.</t>
  </si>
  <si>
    <t>Yunarti (86)</t>
  </si>
  <si>
    <t>Sumardi (200)</t>
  </si>
  <si>
    <t>19.</t>
  </si>
  <si>
    <t>Seliha (101)</t>
  </si>
  <si>
    <t>C.</t>
  </si>
  <si>
    <t>Daftar debitur BRI Cabang Pangkalpinang yang dinyatakan lunas tapi masih tercatat dalam laporan BRI sebanyak 34 debitur</t>
  </si>
  <si>
    <t>7.</t>
  </si>
  <si>
    <t>Siti Aminah (207)</t>
  </si>
  <si>
    <t>20.</t>
  </si>
  <si>
    <t>Ade Paganini (106)</t>
  </si>
  <si>
    <t>8.</t>
  </si>
  <si>
    <t>Hendratno (248)</t>
  </si>
  <si>
    <t>21.</t>
  </si>
  <si>
    <t>Romadhon (120)</t>
  </si>
  <si>
    <t>9.</t>
  </si>
  <si>
    <t>Idhar Said (285)</t>
  </si>
  <si>
    <t>22.</t>
  </si>
  <si>
    <t>Hasinah (301)</t>
  </si>
  <si>
    <t>10.</t>
  </si>
  <si>
    <t>Rikawahyu Resmadewi (294)</t>
  </si>
  <si>
    <t>23.</t>
  </si>
  <si>
    <t>Seria (353)</t>
  </si>
  <si>
    <t>KEPALA DINAS SOSIAL</t>
  </si>
  <si>
    <t>11.</t>
  </si>
  <si>
    <t>Ben Idris (345)</t>
  </si>
  <si>
    <t>12.</t>
  </si>
  <si>
    <t>Kel.Nel Bina Mulya (347)</t>
  </si>
  <si>
    <t>13.</t>
  </si>
  <si>
    <t>Iskandar Suziarta (357)</t>
  </si>
  <si>
    <t>M. AZIZ HARAHAD, SH</t>
  </si>
  <si>
    <t>NIP. 19640712 198503 1 012</t>
  </si>
  <si>
    <t>DAFTAR PERSENTASE KEPEMILIKAN INVESTASI (PENYERTAAN MODAL) DAERAH</t>
  </si>
  <si>
    <t>NAMA BADAN/LEMBAGA/ PIHAK KETIGA</t>
  </si>
  <si>
    <t>DASAR HUKUM PENYERTAAN MODAL</t>
  </si>
  <si>
    <t>TAHUN AWAL PENYERTAAN MODAL</t>
  </si>
  <si>
    <t>JUMLAH MODAL PADA AWAL PERNYERTAAN MODAL</t>
  </si>
  <si>
    <t>JUMLAH MODAL SAMPAI DENGAN AWAL TAHUN</t>
  </si>
  <si>
    <t>PENYERTAAN MODAL TAHUN INI</t>
  </si>
  <si>
    <t>JUMLAH MODAL  SAMPAI DENGAN AKHIR TAHUN INI</t>
  </si>
  <si>
    <t>PENAMBAHAN/ PENGURANGAN</t>
  </si>
  <si>
    <t>JUMLAH SISA MODAL (INVESTASI) YANG DISERTAKAN SAMPAI DENGAN TAHUN INI</t>
  </si>
  <si>
    <t>PERSENTASE KEPEMILIKAN PEMROV. KEP.BABEL</t>
  </si>
  <si>
    <t>JUMLAH SAHAM (LEMBAR)</t>
  </si>
  <si>
    <t>BPD Sumsel dan Babel Cabang Pangkalpinang</t>
  </si>
  <si>
    <t>Perda Nomor 1 Tahun  2010 tentang Penambahan Penyertaan Modal Pemerintah Provinsi Kepulauan Bangka Belitung pada PT. Bank Pembangunan Daerah Sumatera Selatan dan Bangka Belitung</t>
  </si>
  <si>
    <t>Perda Nomor 7 Tahun  2011 tentang Penambahan Penyertaan Modal Pemerintah Provinsi Kepulauan Bangka Belitung pada PT. Bank Pembangunan Daerah Sumatera Selatan dan Bangka Belitung</t>
  </si>
  <si>
    <t>PT. Sumatera Shipping Lines</t>
  </si>
  <si>
    <t>PT. Sumatera Promotion Centre</t>
  </si>
  <si>
    <t>PT. Bangka Belitung Sejahtera</t>
  </si>
  <si>
    <t>Perda Nomor 9  Tahun 2005 tentang Pembentukan Badan Usaha Milik Daerah PT Bangka Belitung Sejahtera</t>
  </si>
  <si>
    <t>Perda Nomor 11  Tahun 2006 tentang Penyertaan Modal Pemerintah Kepulauan Bangka Belitung pada Badan Usaha Milik Daerah</t>
  </si>
  <si>
    <t>Perda Nomor 18 Tahun 2008 tentang Pembentukan Badan Usaha Milik Daerah PT Bumi Bangka Belitung Sejahtera</t>
  </si>
  <si>
    <t>EQUITY</t>
  </si>
  <si>
    <t>Riau Air Lines</t>
  </si>
  <si>
    <t>Perda Nomor 6  Tahun 2007 tentang Penyertaan Modal Pemerintah Kepulauan Bangka Belitung pada PT Riau Airlines</t>
  </si>
  <si>
    <t>Bank Syariah Bangka</t>
  </si>
  <si>
    <t>Perda Nomor 10  Tahun 2006 tentang Penyertaan Modal Pemerintah Provinsi Kepulauan Bangka Belitung pada PT Bank Perkreditan Rakyat Syariah Bangka Belitung</t>
  </si>
  <si>
    <t>Perda Nomor 03 Tahun 2009 tentang Penyertaan Modal Pemerintah Provinsi Kepulauan Bangka Belitung pada PT Bank Perkreditan Rakyat Syariah Bangka Belitung</t>
  </si>
  <si>
    <t>Perda Nomor 11  Tahun 2006 tentang Penambahan Penyertaan Modal Pemerintah Kepulauan Bangka Belitung pada PT Bank Perkreditan Rakyat Syariah Bangka Belitung</t>
  </si>
  <si>
    <t>PDAM Kota Pangkalpinang</t>
  </si>
  <si>
    <t>Perda Nomor 14 Tahun 2007 tentang Penyertaan Modal Pemerintah Kepulauan Bangka Belitung pada Badan Usaha Milik Daerah Perusahaan Air Minum Kota Pangkalpinang</t>
  </si>
  <si>
    <t>PDAM Kabupaten Belitung</t>
  </si>
  <si>
    <t>Perda Nomor 15 Tahun 2007 tentang Penyertaan Modal Pemerintah Kepulauan Bangka Belitung pada Badan Usaha Milik Daerah Perusahaan Air Minum Kabupaten Belitung</t>
  </si>
  <si>
    <t>PT JAMKRIDA BABEL</t>
  </si>
  <si>
    <t>Perda Nomor 3 Tahun 2010 tentang Pembentukan PT Penjaminan Kredit Daerah (JAMKRIDA)</t>
  </si>
  <si>
    <t>DAFTAR PEMEGANG SAHAM PT JAMKRIDA</t>
  </si>
  <si>
    <t>NAMA PEMEGANG SAHAM</t>
  </si>
  <si>
    <t>NILAI SAHAM</t>
  </si>
  <si>
    <t>PERSENTASE  KEPEMILIKAN SAHAM (%)</t>
  </si>
  <si>
    <t>NILAI EKUITAS 2017 DI LAPORAN KEUANGAN JAMKRIDA</t>
  </si>
  <si>
    <t>NILAI PENYERTAAN MODAL 2017</t>
  </si>
  <si>
    <t>PEMPROV KEP BANGKA BELITUNG</t>
  </si>
  <si>
    <t>KAB BANGKA TENGAH</t>
  </si>
  <si>
    <t>KAB BELITUNG</t>
  </si>
  <si>
    <t>KAB BANGKA</t>
  </si>
  <si>
    <t>DAFTAR PEMEGANG SAHAM PT BUMI BANGKA BELITUNG SEJAHTERA</t>
  </si>
  <si>
    <t>Ir Modestus buntar gunawan</t>
  </si>
  <si>
    <t>Ferdinand Lian</t>
  </si>
  <si>
    <t>DAFTAR MUTASI ASET TETAP TAHUN 2018</t>
  </si>
  <si>
    <t>SALDO PER 31 DES. 2017</t>
  </si>
  <si>
    <t>MUTASI BARANG MILIK DAERAH</t>
  </si>
  <si>
    <t>MUTASI KURANG</t>
  </si>
  <si>
    <t>MUTASI TAMBAH</t>
  </si>
  <si>
    <t>SALDO PER 31 DES. 2018</t>
  </si>
  <si>
    <t>(-) Catat</t>
  </si>
  <si>
    <t>Alih Status Penggunaan</t>
  </si>
  <si>
    <t>Reklasifikasi</t>
  </si>
  <si>
    <t>Penghapusan</t>
  </si>
  <si>
    <t>(+) Catat</t>
  </si>
  <si>
    <t>Hibah</t>
  </si>
  <si>
    <t>Kapiltalisasi Belanja Non Modal</t>
  </si>
  <si>
    <t>Belanja Modal (BOS)</t>
  </si>
  <si>
    <t>Belanja Modal APBD</t>
  </si>
  <si>
    <t>Tanah</t>
  </si>
  <si>
    <t>Peralatan &amp; Mesin</t>
  </si>
  <si>
    <t>Alat-alat besar</t>
  </si>
  <si>
    <t>Alat-alat Angkutan</t>
  </si>
  <si>
    <t>Alat-alat Bengkel dan Alat Ukur</t>
  </si>
  <si>
    <t>Alat-alat Pertanian/Peternakan</t>
  </si>
  <si>
    <t>Alat-alat Kantor dan Rumah Tangga</t>
  </si>
  <si>
    <t>Alat-alat Studio dan Komunikasi</t>
  </si>
  <si>
    <t>Alat-alat Kedokteran</t>
  </si>
  <si>
    <t>Alat-alat Laboratorium</t>
  </si>
  <si>
    <t>Alat-alat Keamanan</t>
  </si>
  <si>
    <t>Gedung dan Bangunan</t>
  </si>
  <si>
    <t>Bangunan Gedung</t>
  </si>
  <si>
    <t>Bangunan Menumen</t>
  </si>
  <si>
    <t>Jalan, Irigasi &amp; Jaringan</t>
  </si>
  <si>
    <t>Jalan dan Jembatan</t>
  </si>
  <si>
    <t>Bangunan Air/Irigasi</t>
  </si>
  <si>
    <t>Instalasi</t>
  </si>
  <si>
    <t>Jaringan</t>
  </si>
  <si>
    <t>Asset Tetap Lainnya</t>
  </si>
  <si>
    <t>Buku Perpustakaan</t>
  </si>
  <si>
    <t>Barang Bercorak Kesenian/Kebudayaan</t>
  </si>
  <si>
    <t>Hewan Ternak dan Tumbuhan</t>
  </si>
  <si>
    <t>Lain-lain+B36</t>
  </si>
  <si>
    <t>Konstruksi dlm pengerjaan</t>
  </si>
  <si>
    <t>Akumulasi Penyusutan Aset Tetap</t>
  </si>
  <si>
    <t>DAFTAR KONSTRUKSI DALAM PENGERJAAN PER 31 DESEMBER 2018</t>
  </si>
  <si>
    <t>SALDO AWAL 31/12/2017</t>
  </si>
  <si>
    <t>KAPITALISASI</t>
  </si>
  <si>
    <t>REKLASIFIKASI</t>
  </si>
  <si>
    <t>NILAI RINCIAN</t>
  </si>
  <si>
    <t>SALDO AKHIR 31/12/2018</t>
  </si>
  <si>
    <t>Jasa Konsultan 
Perencana 
Pemb.Fasilitas 
Penunjang  PLA</t>
  </si>
  <si>
    <t>SMK Negeri 2 KOBA (Bangka Tengah)</t>
  </si>
  <si>
    <t>RUMAH SAKIT UMUM PROVINSI</t>
  </si>
  <si>
    <t>DED RUMAH JOMPO</t>
  </si>
  <si>
    <t>DED DAPUR RS</t>
  </si>
  <si>
    <t>DED RUMAH LAUNDRY</t>
  </si>
  <si>
    <t>DED RUMAH DUKA &amp; FORENSIK</t>
  </si>
  <si>
    <t>PEMBANGUNAN GEDUNG B</t>
  </si>
  <si>
    <t>DED REHAB GEDUNG KANTOR</t>
  </si>
  <si>
    <t>DED GEDUNG IGD</t>
  </si>
  <si>
    <t>KONSULTAN PERENCANAAN REHAB GEDUNG POLIKLINIK DAN GEDUNG KANTOR</t>
  </si>
  <si>
    <t>DINAS PU</t>
  </si>
  <si>
    <t>Penyusunan DED Jaringan Irigasi Air KLUBI, JANGKAR ASAM, SD. Pasak</t>
  </si>
  <si>
    <t>DED Sungai Air Raya</t>
  </si>
  <si>
    <t>DED Drainase Komp Kantor</t>
  </si>
  <si>
    <t>DED Mesjid Raya</t>
  </si>
  <si>
    <t>DED Gedung Pemuda</t>
  </si>
  <si>
    <t>DED Gedung Wanita</t>
  </si>
  <si>
    <t>DED Gedung Kesenian</t>
  </si>
  <si>
    <t>DED Gedung Kadinda</t>
  </si>
  <si>
    <t>DED Gedung PKK dan Ruang</t>
  </si>
  <si>
    <t>DED Gedung Tender</t>
  </si>
  <si>
    <t>DED Rumah Jabatan Gubernur</t>
  </si>
  <si>
    <t>Penyusunan DED Gedung PMI</t>
  </si>
  <si>
    <t>Penyusunan DED Pembangunan Gedung Studio Pemancar</t>
  </si>
  <si>
    <t>DED Studi Kelayakan Jalan</t>
  </si>
  <si>
    <t>Pembangunan Jalan Lingkar Timur Bangka Jurusan Pantai Matras, Parai Tenggiri-Sungailiat - Tj.Pesona-Pantai Rebo - Pangkal Pinang</t>
  </si>
  <si>
    <t>DED/Pengembangan kantor gubernur</t>
  </si>
  <si>
    <t>DED/Landscape Bangunan Gedung</t>
  </si>
  <si>
    <t>DED Rumah Adat Bangka Belitung</t>
  </si>
  <si>
    <t>Penyunan DED Kolong Disamping Polda Dalam komplek Perkantoran Gubernur Kepulauan Bangka Belitung</t>
  </si>
  <si>
    <t>DED dan Amdal Jembatan Teluk Belinyu</t>
  </si>
  <si>
    <t>DED Pembangunan Kantor Terpadu</t>
  </si>
  <si>
    <t>DED pembangunan kantor perwakilan</t>
  </si>
  <si>
    <t>DED gedung palang merah</t>
  </si>
  <si>
    <t>DED gedung ULP</t>
  </si>
  <si>
    <t>DED Gedung Workshop</t>
  </si>
  <si>
    <t xml:space="preserve">DED Jalan Semabung Sampur </t>
  </si>
  <si>
    <t>DED Pelebaran Jalan Semabung</t>
  </si>
  <si>
    <t>DED Perencanaan Pembangunan Jalan</t>
  </si>
  <si>
    <t>DED Jembatan Koba-Lubuk Besar</t>
  </si>
  <si>
    <t>DED Jembatan Penagan Tj. Tedung</t>
  </si>
  <si>
    <t>DED Pembangunan Jembatan Kerabut</t>
  </si>
  <si>
    <t>Jasa Konsultasi Perencanaan Drainase Kab. Bangka Barat (KDP)</t>
  </si>
  <si>
    <t>DED Rumah Ibadah Masjid Air Merbau Tanjungpandan</t>
  </si>
  <si>
    <t>Jasa konsultansi perencanaan KAWASAN MBR KAB Bangka Barat</t>
  </si>
  <si>
    <t>Jasa konsultansi perencanaan KAWASAN MBR KAB Bangka Tengah</t>
  </si>
  <si>
    <t>DED Masjid Raya Belitung</t>
  </si>
  <si>
    <t>Konsultan 
Perencanaan  FS 
Jembatan  Juru 
Seberang</t>
  </si>
  <si>
    <t>Konsultan Perencanaan DED D.I.R Mendu</t>
  </si>
  <si>
    <t>Konsultan Perencanaan DED D.I.R Bangka Kota</t>
  </si>
  <si>
    <t>Konsultan 
Perencanaan  SID 
Banjir  Sungai 
Mendu  Kab. 
Bangka</t>
  </si>
  <si>
    <t>Konsultan 
Perencanaan  SID 
Banjir  Kec.  Lubuk 
Kab.  Bangka</t>
  </si>
  <si>
    <t>Konsultan Perencanaan  Pek. SID  Banjir  Abrasi Pantai  Tikus  Kec. Sungailiat</t>
  </si>
  <si>
    <t>Konsultan Perencanaan  Pek. DED  Kolam Retensi  Sungai Kampung  Ulu  Kec. Mentok</t>
  </si>
  <si>
    <t>Konsultan Perencanaan  Pek.DED  Kolam Retensi  Sungai Parit  Tiga Kec. Parit  Tiga  Kab. Bangka  Barat</t>
  </si>
  <si>
    <t>Pek. SID  Banjir  Desa Baru  Kab.  Belitung Timur</t>
  </si>
  <si>
    <t>Pek. Konsultan Perencanaan  Pek. SID  Banjir  Abrasi Air  Anyir  Kec. 
Merawang</t>
  </si>
  <si>
    <t>DED Pembangunan Talud  Pantai Tanjung  Gunung (Konsultan Perencanaan)</t>
  </si>
  <si>
    <t>DED Pembangunan Talud  Pantai Tapak  Hantu (Konsultan Perencanaan)</t>
  </si>
  <si>
    <t>GEDUNG VIP BANDARA DEPATI AMIR</t>
  </si>
  <si>
    <t>Pembangunan Ruang ATCS (UM, MC 1 dan 2)</t>
  </si>
  <si>
    <t>DED GEDUNG KANTOR</t>
  </si>
  <si>
    <t>DINAS TENAGA KERJA DAN TRANSMIGRASI</t>
  </si>
  <si>
    <t>DED GEDUNG KTR</t>
  </si>
  <si>
    <t>PEMBANGUNAN LAND CLEARING SELURUH LAHAN BLKI</t>
  </si>
  <si>
    <t>DED LANDSCAPE BLKI</t>
  </si>
  <si>
    <t>DINAS KOPERASI DAN UKM</t>
  </si>
  <si>
    <t>DED GEDUNG PROMOSI</t>
  </si>
  <si>
    <t>Review DED Gedung Pemasaran Produk KUMKM</t>
  </si>
  <si>
    <t xml:space="preserve"> DINAS PEMUDA DAN OLAHRAGA</t>
  </si>
  <si>
    <t xml:space="preserve"> Jasa Konsultansi DED Gedung Sentra Kewirausahaan Pemuda</t>
  </si>
  <si>
    <t>Jasa Konsultansi DED Landscape Sentra Kewirausahaan Pemuda</t>
  </si>
  <si>
    <t>Jasa Konsultansi DED Landscape GOR</t>
  </si>
  <si>
    <t>Jasa Konsultasi Perencanaan DED Stadion &amp; Market</t>
  </si>
  <si>
    <t>Jasa Konsultansi Landscape Gedung PPLP</t>
  </si>
  <si>
    <t>DED Drainase GOR</t>
  </si>
  <si>
    <t>Konsultan Perencanaan Rehab. Bangunan Gedung Serba Guna</t>
  </si>
  <si>
    <t>Konsultan Perencanaan Rehab. Bangunan Gedung Kantor</t>
  </si>
  <si>
    <t>DED LANDSCAPE PERTAMANAN</t>
  </si>
  <si>
    <t>DED INTERIOR</t>
  </si>
  <si>
    <t>DED MUSHOLLA UPTD Kabupaten Belitung Jalan Aek Rayak Tanjung Pandan Belitung</t>
  </si>
  <si>
    <t xml:space="preserve"> INSPEKTORAT</t>
  </si>
  <si>
    <t>DED Gedung Arsip dan Perpustakaan</t>
  </si>
  <si>
    <t>DED Gedung Kantor (Badan Diklat)</t>
  </si>
  <si>
    <t>DED Gedung BKD</t>
  </si>
  <si>
    <t>Revisi DED Bangunan Gedung BKPSDM</t>
  </si>
  <si>
    <t>DINAS KETAHANAN PANGAN</t>
  </si>
  <si>
    <t>DINAS PERPUSTAKAAN DAN ARSIP DAERAH</t>
  </si>
  <si>
    <t>DED GEDUNG BPAD</t>
  </si>
  <si>
    <t>GEDUNG BALAI DIKLAT PERTANIAN</t>
  </si>
  <si>
    <t xml:space="preserve"> DINAS KELAUTAN DAN PERIKANAN</t>
  </si>
  <si>
    <t>DED HATCHERY BBIP TANJUNG RUSA</t>
  </si>
  <si>
    <t>DED TAMBAT LABUH TANJUNG BINGA</t>
  </si>
  <si>
    <t>Perencanaan DED TPI Kurau 2014</t>
  </si>
  <si>
    <t>TPI Kurau 2015</t>
  </si>
  <si>
    <t>TPI Kurau Tahap II 2016</t>
  </si>
  <si>
    <t>Penyusunan DED Breakwater Kurau 2016</t>
  </si>
  <si>
    <t>DINAS KOMINFO</t>
  </si>
  <si>
    <t>DED Pengembangan Gedung Kantor</t>
  </si>
  <si>
    <t>DED Perencanaan Layanan Data Center</t>
  </si>
  <si>
    <t>DED Kantor Resort KPH</t>
  </si>
  <si>
    <t>DED Perluasan Gedung Kantor</t>
  </si>
  <si>
    <t>DED Gedung Klinik</t>
  </si>
  <si>
    <t>DAFTAR AKUMULASI PENYUSUTAN ASET TETAP</t>
  </si>
  <si>
    <t>BAPELITBANGDA</t>
  </si>
  <si>
    <t>DP3CSKB</t>
  </si>
  <si>
    <t>DINAS KOPERASI</t>
  </si>
  <si>
    <t>DISBUDPAR</t>
  </si>
  <si>
    <t>DISPORA</t>
  </si>
  <si>
    <t>BADAN KESBANGPOL</t>
  </si>
  <si>
    <t>SATPOL PP</t>
  </si>
  <si>
    <t>SETDA</t>
  </si>
  <si>
    <t>SET. DPRD</t>
  </si>
  <si>
    <t>BAKUDA</t>
  </si>
  <si>
    <t>INSPEKTORAT</t>
  </si>
  <si>
    <t>DINAS PEMDES</t>
  </si>
  <si>
    <t>DISKOMINFO</t>
  </si>
  <si>
    <t>DINAS KEARSIPAN</t>
  </si>
  <si>
    <t>DINAS ESDM</t>
  </si>
  <si>
    <t>DINAS KELAUTAN</t>
  </si>
  <si>
    <t>DISPERINDAG</t>
  </si>
  <si>
    <t xml:space="preserve">Akumulasi Penyusutan Alat-alat Besar </t>
  </si>
  <si>
    <t>Akumulasi Penyusutan Alat-alat Angkutan</t>
  </si>
  <si>
    <t>Akumulasi Penyusutan Alat-alat Bengkel dan Alat Ukur</t>
  </si>
  <si>
    <t>Akumulasi Penyusutan Alat-alat Pertanian</t>
  </si>
  <si>
    <t>Akumulasi Penyusutan Alat-alat Kantor dan Rumah Tangga</t>
  </si>
  <si>
    <t>Akumulasi Penyusutan Alat-alat Studio dan Komunikasi</t>
  </si>
  <si>
    <t>Akumulasi Penyusutan Alat-alat Kedokteran</t>
  </si>
  <si>
    <t>Akumulasi Penyusutan Alat-alat Laboratorium</t>
  </si>
  <si>
    <t>Akumulasi Penyusutan Alat-alat Keamanan</t>
  </si>
  <si>
    <t>Akumulasi Penyusutan Bangunan Gedung</t>
  </si>
  <si>
    <t xml:space="preserve">Akumulasi Penyusutan Bangunan Monumen </t>
  </si>
  <si>
    <t>Akumulasi Penyusutan Jalan dan Jembatan</t>
  </si>
  <si>
    <t>Akumulasi Penyusutan Bangunan Air dan Irigasi</t>
  </si>
  <si>
    <t>Akumulasi Penyusutan Instalasi</t>
  </si>
  <si>
    <t>Akumulasi Penyusutan Jaringan</t>
  </si>
  <si>
    <t>Akumulasi Penyusutan Aset Tetap Renovasi</t>
  </si>
  <si>
    <t>Akumulasi Penyusutan Barang Bercorak Kebudayaan</t>
  </si>
  <si>
    <t>TOTAL AKUMULASI PENYUSUTAN ASET TETAP</t>
  </si>
  <si>
    <t>DAFTAR ASET TETAP TAK BERWUJUD</t>
  </si>
  <si>
    <t>AMORTISASI</t>
  </si>
  <si>
    <t>Lisensi</t>
  </si>
  <si>
    <t>Perangkat Lunak Sistem Operasi</t>
  </si>
  <si>
    <t>DINAS PERUMAHAN RAKYAT DAN PERMUKIMAN</t>
  </si>
  <si>
    <t xml:space="preserve">Software </t>
  </si>
  <si>
    <t>Antivirus</t>
  </si>
  <si>
    <t>Film Dokumenter</t>
  </si>
  <si>
    <t>Software</t>
  </si>
  <si>
    <t>Aplikasi PKPT</t>
  </si>
  <si>
    <t>Perangkat Lunak/Software (Kaspersky Small Office Security)</t>
  </si>
  <si>
    <t>Perangkat Lunak/Software (Software Bank Soal)</t>
  </si>
  <si>
    <t>Perangkat Lunak/Software (Software Sistem Absensi)</t>
  </si>
  <si>
    <t>Personal Komputer Lain-lain (Aplikasi Perangkat Lunak (Panel &amp; WHM)</t>
  </si>
  <si>
    <t>APLIKASI KESEHATAN DAN PARIWISATA</t>
  </si>
  <si>
    <t>APLIKASI PARIWISATA</t>
  </si>
  <si>
    <t>APLIKASI UMKM</t>
  </si>
  <si>
    <t>APLIKASI KULINER</t>
  </si>
  <si>
    <t>APLIKASI Pendidikan</t>
  </si>
  <si>
    <t>APLIKASI  NAVICAT</t>
  </si>
  <si>
    <t>PERANGKAT LUNAK LISENSI CONTROL PANEL WEB HOSTING</t>
  </si>
  <si>
    <t>Buku Laporan Penelitian</t>
  </si>
  <si>
    <t>Buku Kajian/Studi Kelautan dan Perikanan</t>
  </si>
  <si>
    <t xml:space="preserve"> DED dan Studi Kelayakan Landasan Bandara</t>
  </si>
  <si>
    <t>RUMAH SAKIT UMUM PROVINSI (RSUP)</t>
  </si>
  <si>
    <t>Hasil Kajian (DED)</t>
  </si>
  <si>
    <t>DAFTAR REALISASI PENAMBAHAN DAN PENGURANGAN ASET LAINNYA</t>
  </si>
  <si>
    <t>SALDO AWAL</t>
  </si>
  <si>
    <t>SALDO AKHIR</t>
  </si>
  <si>
    <t>+/- CATAT</t>
  </si>
  <si>
    <t>REKLAS</t>
  </si>
  <si>
    <t>HIBAH</t>
  </si>
  <si>
    <t>KAPITALISASI BELANJA</t>
  </si>
  <si>
    <t>BELANJA MODAL (BOS)</t>
  </si>
  <si>
    <t>BELANJA MODAL APBD</t>
  </si>
  <si>
    <t>PENGHAPUSAN</t>
  </si>
  <si>
    <t>11=4+5+6+7+8+9+10</t>
  </si>
  <si>
    <t>16=12+13+14+15</t>
  </si>
  <si>
    <t>13=3+11-16</t>
  </si>
  <si>
    <t>Aset Lain-lain</t>
  </si>
  <si>
    <t>Aset Tak Berwujud</t>
  </si>
  <si>
    <t>Amortisasi Aset Tidak Berwujud</t>
  </si>
  <si>
    <t>Akumulasi Penyusutan Aset Lain-Lain</t>
  </si>
  <si>
    <t>DAFTAR UTANG JANGKA PENDEK TAHUN 2018</t>
  </si>
  <si>
    <t>- Utang PFK</t>
  </si>
  <si>
    <t>- Utang Beban Pegawai</t>
  </si>
  <si>
    <t>- Utang Beban Listrik</t>
  </si>
  <si>
    <t>- Utang Beban Telepon</t>
  </si>
  <si>
    <t>- Utang Jangka Pendek Lainnya</t>
  </si>
  <si>
    <t>- Utang Beban telepon</t>
  </si>
  <si>
    <t>- Utang Beban listrik</t>
  </si>
  <si>
    <t>- Utang Beban Internet</t>
  </si>
  <si>
    <t>- Utang Beban Pajak Kendaraan Bermotor</t>
  </si>
  <si>
    <t>Dinas P3CSKB &amp; PA</t>
  </si>
  <si>
    <t>- Utang Permakanan Taruna/i</t>
  </si>
  <si>
    <t>- Pendapatan Diterima Di muka</t>
  </si>
  <si>
    <t>- Utang Jangka Pendek Lainnya (kelebihan pembayaran TGR)</t>
  </si>
  <si>
    <t>- Utang Janga Pendek Lainnya (bunga deposito)</t>
  </si>
  <si>
    <t>- Utang Beban Air</t>
  </si>
  <si>
    <t>- Utang Beban Jasa Instansi Lainnya</t>
  </si>
  <si>
    <t>- Utang Beban air</t>
  </si>
  <si>
    <t>- Uang Titipan Salah Setor</t>
  </si>
  <si>
    <t xml:space="preserve">DAFTAR UTANG BAGI HASIL PAJAK KE KABUPATEN / KOTA </t>
  </si>
  <si>
    <t>TRIWULAN IV TA.2018</t>
  </si>
  <si>
    <t>OVER TARGET TRIWULAN IV TA.2018</t>
  </si>
  <si>
    <t>8 = (2+3+4+5+6+7)</t>
  </si>
  <si>
    <t>PANGKALPINANG</t>
  </si>
  <si>
    <t>PKB</t>
  </si>
  <si>
    <t>BBN-KB</t>
  </si>
  <si>
    <t>PBBKB</t>
  </si>
  <si>
    <t>Pajak APT</t>
  </si>
  <si>
    <t>Pajak Rokok (PR)</t>
  </si>
  <si>
    <t>BANGKA</t>
  </si>
  <si>
    <t>BELITUNG</t>
  </si>
  <si>
    <t>BANGKA TENGAH</t>
  </si>
  <si>
    <t>BANGKA BARAT</t>
  </si>
  <si>
    <t>BANGKA SELATAN</t>
  </si>
  <si>
    <t>BELITUNG TIMUR</t>
  </si>
  <si>
    <t>GRAND TOTAL</t>
  </si>
  <si>
    <t>DAFTAR HIBAH BARANG</t>
  </si>
  <si>
    <t>ASAL</t>
  </si>
  <si>
    <t>DASAR HUKUM</t>
  </si>
  <si>
    <t>Persediaan</t>
  </si>
  <si>
    <t>Alat-alat Besar</t>
  </si>
  <si>
    <t>Alat-alat Kantor &amp; Rumah Tangga</t>
  </si>
  <si>
    <t>Hibah Kementerian</t>
  </si>
  <si>
    <t>Persediaan Bahan Obat-obatan</t>
  </si>
  <si>
    <t>HIBAH KEMENKES PUSAT KESEHATAN</t>
  </si>
  <si>
    <t>Alat-alat kantor dan rumah tangga</t>
  </si>
  <si>
    <t>HIBAH KEMENKES PUSAT KESEHATAN HAJI THN 2017</t>
  </si>
  <si>
    <t>TOTAL 1 + 2 + 3 + 4 + 5 + 6 + 7 + 8 + 9 + 10 + 11 + 12 + 13 + 14 + 15 + 16</t>
  </si>
  <si>
    <t>Kendaraan Bermotor Khusus Lain-lain</t>
  </si>
  <si>
    <t>Mobil Work Shop/ Services</t>
  </si>
  <si>
    <t>Hibah Kemenaker RI  bid WAS HI th 2018</t>
  </si>
  <si>
    <t>Mesin Bor Tangan</t>
  </si>
  <si>
    <t>Mesin Ampelas Tangan</t>
  </si>
  <si>
    <t>Perkakas Bengkel Lain-lain</t>
  </si>
  <si>
    <t>Perkakas Bengkel Service Lain-lain</t>
  </si>
  <si>
    <t>Mesin Ketam</t>
  </si>
  <si>
    <t>Mesin Penghalus</t>
  </si>
  <si>
    <t>Perkakas Bengkel Kayu Lain-lain</t>
  </si>
  <si>
    <t>Perkakas Bengkel Khusus Lain-lain</t>
  </si>
  <si>
    <t>Perkakas Pemotong Plat</t>
  </si>
  <si>
    <t>Perkakas Bengkel Listrik Lain-lain</t>
  </si>
  <si>
    <t>Peralatan Tukang Kayu Lain-lain</t>
  </si>
  <si>
    <t>Elektric Lainnya</t>
  </si>
  <si>
    <t>Mesin Battery Set</t>
  </si>
  <si>
    <t>Dongkrak</t>
  </si>
  <si>
    <t>Lemari Besi</t>
  </si>
  <si>
    <t>Filling Besi/Metal</t>
  </si>
  <si>
    <t>Brand Kas</t>
  </si>
  <si>
    <t>Lemari kayu</t>
  </si>
  <si>
    <t>Alat Penghancur Kertas</t>
  </si>
  <si>
    <t>Mesin Gergaji</t>
  </si>
  <si>
    <t>Kursi Kerja</t>
  </si>
  <si>
    <t>Televisi</t>
  </si>
  <si>
    <t>Sound System</t>
  </si>
  <si>
    <t>Tangga Alumunium</t>
  </si>
  <si>
    <t>P.C Unit/ Komputer PC</t>
  </si>
  <si>
    <t>Lap Top</t>
  </si>
  <si>
    <t>Note Book</t>
  </si>
  <si>
    <t>Personal Komputer Lain-lain</t>
  </si>
  <si>
    <t>Printer</t>
  </si>
  <si>
    <t>Peralatan Personal Komputer  Lain-lain</t>
  </si>
  <si>
    <t>Wireless Lan (USB)</t>
  </si>
  <si>
    <t>Meja Kerja</t>
  </si>
  <si>
    <t>Camera + Attachment</t>
  </si>
  <si>
    <t>Proyektor + Attachment</t>
  </si>
  <si>
    <t>Audio Amplifier</t>
  </si>
  <si>
    <t>Layar Proyektor</t>
  </si>
  <si>
    <t>Facsimile</t>
  </si>
  <si>
    <t>Rak Peralatan</t>
  </si>
  <si>
    <t>Generator</t>
  </si>
  <si>
    <t>Compressor</t>
  </si>
  <si>
    <t>Bangunan Gedung Kantor</t>
  </si>
  <si>
    <t>Jalan Kabupaten Lain-lain</t>
  </si>
  <si>
    <t>Kursi Putar</t>
  </si>
  <si>
    <t>AC Split</t>
  </si>
  <si>
    <t>Handy Cam</t>
  </si>
  <si>
    <t>UPS</t>
  </si>
  <si>
    <t>Router</t>
  </si>
  <si>
    <t>Peralatan Umum Lain-lain</t>
  </si>
  <si>
    <t>Personal Komputer</t>
  </si>
  <si>
    <t>Perkakas Bengkel Kerja Lain-lain</t>
  </si>
  <si>
    <t>Linggis</t>
  </si>
  <si>
    <t>White Board</t>
  </si>
  <si>
    <t>Meja Besi/Metal</t>
  </si>
  <si>
    <t>Kursi Besi/Metal</t>
  </si>
  <si>
    <t>Meja Komputer</t>
  </si>
  <si>
    <t>Mesin Pemotong Keramik</t>
  </si>
  <si>
    <t>Alat Pemadam Portable</t>
  </si>
  <si>
    <t>Kursi Kerja Pejabat Lain-lain</t>
  </si>
  <si>
    <t>Compact Disc. Player</t>
  </si>
  <si>
    <t>Scanner</t>
  </si>
  <si>
    <t>Modem</t>
  </si>
  <si>
    <t>Mobil Ambulance</t>
  </si>
  <si>
    <t>Hibah PT Taspen</t>
  </si>
  <si>
    <t>HIBAH ASET TETAP</t>
  </si>
  <si>
    <t>SUMERSIBLE PUMP</t>
  </si>
  <si>
    <t>BAST NO. 9884/DPB/PL.420.S1/XII/2016 TGL 5 DESEMBER 2016</t>
  </si>
  <si>
    <t>BAST NO. 6116/DPB/PL.420.S1/2017 TGL9 OKTOBER 2017</t>
  </si>
  <si>
    <t>POMPA LAIN-LAIN</t>
  </si>
  <si>
    <t>P2D PENGALIHAN WILAYAH KABUPATEN BELITUNG TIMUR TAHUN 2018</t>
  </si>
  <si>
    <t>BASTPT/04/II/2018 &amp; 824/0075/I TGL 4 OKTOBER 2018</t>
  </si>
  <si>
    <t>P2D PENGALIHAN WILAYAH KOTA PANGKALPINANG TAHUN 2017</t>
  </si>
  <si>
    <t>BAST BA/12/ADMPEM/X/2017 DAN 824/60/I TANGGAL 3 OKTOBER 2017</t>
  </si>
  <si>
    <t>P2D PENGALIHAN WILAYAH KABUPATEN BANGKA BARAT TAHUN 2017</t>
  </si>
  <si>
    <t xml:space="preserve">BAST 127/01/4.1.3.1/2017 DAN 824/106/I TANGGAL 30 NOVEMBER 2017 </t>
  </si>
  <si>
    <t>P2D PENGALIHAN WILAYAH KABUPATEN BANGKA SELATAN  TAHUN 2016</t>
  </si>
  <si>
    <t>BAST NO. 824/14/I DAN 127/904.A/BAST/2016 TANGGAL 3 OKTOBER 2016</t>
  </si>
  <si>
    <t>MESIN LAS LISTRIK</t>
  </si>
  <si>
    <t>MESIN GERINDA TANGAN</t>
  </si>
  <si>
    <t>KUNCI KHUSUS PEMBUKA MUR/BAUT</t>
  </si>
  <si>
    <t>TENGGEM</t>
  </si>
  <si>
    <t>P2D PENGALIHAN WILAYAH KABUPATEN BANGKA TENGAH TAHUN 2018</t>
  </si>
  <si>
    <t>BAST NOMOR : 032/224/DIPERKAN/2018 TANGGAL 17 DESEMBER 2018</t>
  </si>
  <si>
    <t>ALAT PROCESSING LAIN-LAIN</t>
  </si>
  <si>
    <t>ALAT PENGUKUR TEMPERATUR</t>
  </si>
  <si>
    <t>LEMARI KACA</t>
  </si>
  <si>
    <t>BAST NO. 9883/DPB/PL.420.S1/XII/2016 TGL 5 DESEMBER 2016</t>
  </si>
  <si>
    <t>RAK KACA</t>
  </si>
  <si>
    <t>GENSET</t>
  </si>
  <si>
    <t>MESIN POMPA AIR</t>
  </si>
  <si>
    <t>MESIN CUCI</t>
  </si>
  <si>
    <t>ALAT PENDINGIN LAIN-LAIN</t>
  </si>
  <si>
    <t>DISPENSER</t>
  </si>
  <si>
    <t>LEMARI ARSIP UNTUK ARSIP DINAMIS</t>
  </si>
  <si>
    <t>KOMPOR GAS</t>
  </si>
  <si>
    <t>PRINTER</t>
  </si>
  <si>
    <t>BAST 599/SJ/VII/2018 TGL 17 JULI 2018</t>
  </si>
  <si>
    <t>CONDUCTIVITY METER</t>
  </si>
  <si>
    <t>PH METER</t>
  </si>
  <si>
    <t>ANALITICAL BALANCE</t>
  </si>
  <si>
    <t>SALINITY CONDUCTIVITY/TEMPERATURE</t>
  </si>
  <si>
    <t>PHOTO METER</t>
  </si>
  <si>
    <t>REFRIGERATOR</t>
  </si>
  <si>
    <t>HEATER</t>
  </si>
  <si>
    <t>DISOLVED OPEN METER</t>
  </si>
  <si>
    <t>MOTOR LISTRIK</t>
  </si>
  <si>
    <t>COLONY COUNTER</t>
  </si>
  <si>
    <t>ALAT LAB.KEDOKTERAN LAIN-LAIN</t>
  </si>
  <si>
    <t>PROTEIN ANALYZER</t>
  </si>
  <si>
    <t xml:space="preserve"> BASTPT/04/II/2018 &amp; 824/0075/I TGL 4 OKTOBER 2018</t>
  </si>
  <si>
    <t>INSTALASI PUSAT PENGATUR LISTRIK LAIN-LAIN</t>
  </si>
  <si>
    <t xml:space="preserve"> BAST NOMOR : 032/             /DIPERKAN/2018 TANGGAL 17 DESEMBER 2018</t>
  </si>
  <si>
    <t>Kendaraan Roda 4</t>
  </si>
  <si>
    <t>Mesin Fotocopy</t>
  </si>
  <si>
    <t>PC Unit</t>
  </si>
  <si>
    <t>Laptop</t>
  </si>
  <si>
    <t>Camera Digital</t>
  </si>
  <si>
    <t>Whiteboard Electric</t>
  </si>
  <si>
    <t>Casset Recorder</t>
  </si>
  <si>
    <t xml:space="preserve">Pick up </t>
  </si>
  <si>
    <t>Hibah 2014 (Smster 1 )</t>
  </si>
  <si>
    <t>Hibah 2017</t>
  </si>
  <si>
    <t>Kendaraan Roda ( 2 )</t>
  </si>
  <si>
    <t>GPS</t>
  </si>
  <si>
    <t>ALAT Ukur lain(Lain-Lainya)</t>
  </si>
  <si>
    <t>Meja Kerja 1 Biro</t>
  </si>
  <si>
    <t>Meja Kerja 1/2 Biro</t>
  </si>
  <si>
    <t>Kursi Kerja 1 biro</t>
  </si>
  <si>
    <t>Kursi Kerja 1/2 biro</t>
  </si>
  <si>
    <t>Kursi Tamu</t>
  </si>
  <si>
    <t>Fiiling Cabinet</t>
  </si>
  <si>
    <t>PC unit/Komputer</t>
  </si>
  <si>
    <t>External Hardisk</t>
  </si>
  <si>
    <t>sofa</t>
  </si>
  <si>
    <t xml:space="preserve">Meja Kepala </t>
  </si>
  <si>
    <t>Kursi Kepala</t>
  </si>
  <si>
    <t>A.C Split</t>
  </si>
  <si>
    <t>Lcd Proyektor + Attachment.</t>
  </si>
  <si>
    <t>Kompas Geologi</t>
  </si>
  <si>
    <t>Altimeter</t>
  </si>
  <si>
    <t>Tripod Projector</t>
  </si>
  <si>
    <t>Bangunan KPHP Bubus Panca  Kab.Bangka ( Kantor semi permanen )</t>
  </si>
  <si>
    <t>Bangunan KPHP Muntai Palas Kab.Bangka Barat ( Kantor semi permanen )</t>
  </si>
  <si>
    <t>Bangunan KPHP Jebu Bembang Antan Kab.Bangka Barat ( Kantor semi permanen )</t>
  </si>
  <si>
    <t xml:space="preserve">Bangunan KPHP Sigambir Kota Waringin Kab.Bangka ( Kantor semi permanen </t>
  </si>
  <si>
    <t>hardisk Eksternal</t>
  </si>
  <si>
    <t>Pick Up</t>
  </si>
  <si>
    <t>( HIBAH PEMERINTAH KABUPATEN BELTIM KE PEMPROV BABEL URUSAN KEHUTANAN TAHUN 2018 ) BASTB Nomor : BASTPT/04/II/2018 NOMOR : 824/0075/I</t>
  </si>
  <si>
    <t>Sepeda Motor</t>
  </si>
  <si>
    <t>Global Positioning System (GPS)</t>
  </si>
  <si>
    <t>ALat Ukur Lainnya (Lain-lain)</t>
  </si>
  <si>
    <t>HIBAH KEMENTERIAN LHK RI . BASTB :BA.1065/MENLHK-SETJEN/ROUM/KEP.3/6/2018 TGL 22 JUNI 2018</t>
  </si>
  <si>
    <t>Harddisk Eksternal</t>
  </si>
  <si>
    <t>Alti Meter</t>
  </si>
  <si>
    <t>Kompas</t>
  </si>
  <si>
    <t>Bangunan Gedung Kantor Permanen</t>
  </si>
  <si>
    <t>Laptop Lenovo G40-80</t>
  </si>
  <si>
    <t>Hibah dari Kementerian Perdagangan RI</t>
  </si>
  <si>
    <t>Laptop Asus A456U</t>
  </si>
  <si>
    <t>Hibah Tanah Belitung Timur</t>
  </si>
  <si>
    <t>Hibah Tanah kantor UPT Belttim dari Kab. Beltim Seluar 5.000 M2 (BERITA ACARA SERAH TERIMA HIBAH  NO. 900/007/NPHD-ASET/VII/2018)</t>
  </si>
  <si>
    <t>Hibah Tanah Bangka Tengah</t>
  </si>
  <si>
    <t>Hibah Tanah kantor UPT Bateng dari Kab. BaTeng Seluas 4.498 M2 (BERITA ACARA SERAH TERIMA HIBAH  NO. 032/5340/BPKAD/2018)</t>
  </si>
  <si>
    <t>Tractor Lain-lain</t>
  </si>
  <si>
    <t>Hibah Kementan BASTB : 230/PL.130/BMN/B/12/2018</t>
  </si>
  <si>
    <t xml:space="preserve">Hibah Bibit Ternak </t>
  </si>
  <si>
    <t>Hibah dari Kementerian Pertanian RI</t>
  </si>
  <si>
    <t>DAMPAK KUMULATIF</t>
  </si>
  <si>
    <t>Dalam Rp</t>
  </si>
  <si>
    <t>DINAS PEMBERDAYAAN MASYARAKAT DAN  DESA</t>
  </si>
  <si>
    <t>KDH &amp; WKDH</t>
  </si>
  <si>
    <t>DPRD</t>
  </si>
  <si>
    <t>EKUITAS AWAL</t>
  </si>
  <si>
    <t>SURPLUS/DEFISIT-LO</t>
  </si>
  <si>
    <t>DAMPAK KUMULATIF PERUBAHAN KEBIJAKAN/KESALAHAN MENDASAR:</t>
  </si>
  <si>
    <t>Dampak Akumulatif Perubahan Nilai Perubahan Nilai Bagian Lancar Tuntutan Ganti Kerugian Daerah</t>
  </si>
  <si>
    <t>Dampak Akumulatif atas Perubahan Nilai Persediaan</t>
  </si>
  <si>
    <t>Dampak Akumulatif atas Perubahan Nilai Investasi Jangka Panjang Non Permanen</t>
  </si>
  <si>
    <t>Dampak Akumulatif atas Perubahan Nilai Investasi Jangka Panjang Permanen</t>
  </si>
  <si>
    <t>Dampak akumulatif atas Perubahan Nilai Aset Tetap Tanah</t>
  </si>
  <si>
    <t>Dampak Akumulatif atas Perubahan Nilai Aset Tetap Peralatan dan Mesin</t>
  </si>
  <si>
    <t>Dampak Akumulatif atas Perubahan Nilai Aset Tetap Gedung dan Bangunan</t>
  </si>
  <si>
    <t>Dampak Akumulatif atas Perubahan Nilai Aset Tetap Jalan Irigasi dan Jaringan</t>
  </si>
  <si>
    <t>Dampak Akumulatif atas Perubahan Nilai Aset Tetap Lainnya</t>
  </si>
  <si>
    <t>Dampak Akumulatif Atas Perubahan Nilai Konstruksi Dalam Pengerjaan</t>
  </si>
  <si>
    <t>Dampak Akumulatif atas Perubahan Nilai Akumulasi Penyusutan Aset Tetap</t>
  </si>
  <si>
    <t>Dampak Akumulatif atas Perubahan Nilai Aset Lainnya</t>
  </si>
  <si>
    <t>Dampak Akumulatif Perubahan Nilai Kas dan Setara Kas</t>
  </si>
  <si>
    <t>Kewajiban Untuk Dikonsolidasikan</t>
  </si>
  <si>
    <t>Dampak Akumulatif Perubahan Nilai Piutang</t>
  </si>
  <si>
    <t>Dampak Akumulatif Perubahan Nilai Utang</t>
  </si>
  <si>
    <t>Dampak Akumulatif Perubahan Nilai penyisihan piutang</t>
  </si>
  <si>
    <t>Dampak Akumulatif atas Perubahan Nilai Penyusutan Aset Lain Lain</t>
  </si>
  <si>
    <t>Dampak Akumulatif atas Perubahan Nilai Amortisasi Aset Tidak Berwujud</t>
  </si>
  <si>
    <t>Dampak Akumulatif Perubahan Nilai penyisihan Dana Bergulir</t>
  </si>
  <si>
    <t>Koreksi Ekuitas Lainnya</t>
  </si>
  <si>
    <t>EKUITAS AKHIR</t>
  </si>
  <si>
    <t>REKAPITULASI BANTUAN PEMERINTAH</t>
  </si>
  <si>
    <t>BANTUAN PEMERINTAH</t>
  </si>
  <si>
    <t>Nama Sekolah</t>
  </si>
  <si>
    <t>BERUPA BARANG</t>
  </si>
  <si>
    <t>BERUPA UANG</t>
  </si>
  <si>
    <t>SMAN 1 MENDO BARAT</t>
  </si>
  <si>
    <t>SMAN 2 MENDO BARAT</t>
  </si>
  <si>
    <t>SMAN 1 MERAWANG</t>
  </si>
  <si>
    <t>SMAN 1 SUNGAI LIAT</t>
  </si>
  <si>
    <t>SMAN 1 BELINYU</t>
  </si>
  <si>
    <t>SMAN 1 PUDING BESAR</t>
  </si>
  <si>
    <t>SMA NEGERI 2 PUDING BESAR</t>
  </si>
  <si>
    <t>SMA N 1 BAKAM</t>
  </si>
  <si>
    <t>SMAN 1 PEMALI</t>
  </si>
  <si>
    <t>SMAN 1 RIAU SILIP</t>
  </si>
  <si>
    <t>SMAN 1 MEMBALONG</t>
  </si>
  <si>
    <t>SMAN 2 TANJUNG PANDAN</t>
  </si>
  <si>
    <t>SMAN 1 TANJUNG PANDAN</t>
  </si>
  <si>
    <t>SMAN 1 SIJUK</t>
  </si>
  <si>
    <t>SMAN 1 KOBA</t>
  </si>
  <si>
    <t>SMAN 1 PANGKALAN BARU</t>
  </si>
  <si>
    <t>SMAN 1 SUNGAI SELAN</t>
  </si>
  <si>
    <t>SMAN 2 SUNGAI SELAN</t>
  </si>
  <si>
    <t>SMAN 1 LUBUK BESAR</t>
  </si>
  <si>
    <t>SMAN 1 NAMANG</t>
  </si>
  <si>
    <t>SMAN 1 KELAPA</t>
  </si>
  <si>
    <t>SMAN 1 TEMPILANG</t>
  </si>
  <si>
    <t>SMAN 1 MUNTOK</t>
  </si>
  <si>
    <t>SMAN 1 SP TERITIP</t>
  </si>
  <si>
    <t>SMAN 1 JEBUS</t>
  </si>
  <si>
    <t>SMAN 1 PARITTIGA</t>
  </si>
  <si>
    <t>SMAN 1 PAYUNG</t>
  </si>
  <si>
    <t>SMAN 1 SIMPANG RIMBA</t>
  </si>
  <si>
    <t>SMAN 1 TOBOALI</t>
  </si>
  <si>
    <t>SMAN 2 TOBOALI</t>
  </si>
  <si>
    <t>SMAN 1 LEPAR PONGOK</t>
  </si>
  <si>
    <t>SMAN 2 LEPAR PONGOK</t>
  </si>
  <si>
    <t>SMA NEGERI 1 PULAU BESAR</t>
  </si>
  <si>
    <t>SMAN 1 AIRGEGAS</t>
  </si>
  <si>
    <t>SMAN 1 KEP. PONGOK</t>
  </si>
  <si>
    <t>SMAN 1 GANTUNG</t>
  </si>
  <si>
    <t>SMAN 1 MANGGAR</t>
  </si>
  <si>
    <t>SMAN 1 KELAPA KAMPIT</t>
  </si>
  <si>
    <t>SMA Negeri 1 Damar</t>
  </si>
  <si>
    <t>SMAN 1 SIMPANG PESAK</t>
  </si>
  <si>
    <t>SMAN 3 PANGKAL PINANG</t>
  </si>
  <si>
    <t>SMAN 2 PANGKAL PINANG</t>
  </si>
  <si>
    <t>SMAN 4 PANGKAL PINANG</t>
  </si>
  <si>
    <t>SMAN 1 PANGKAL PINANG</t>
  </si>
  <si>
    <t>SMK NEGERI 1 MENDOBARAT</t>
  </si>
  <si>
    <t>SMK Negeri 2 Sungailiat</t>
  </si>
  <si>
    <t>SMK NEGERI 1 SUNGAILIAT</t>
  </si>
  <si>
    <t>SMK N 1 BELINYU</t>
  </si>
  <si>
    <t>SMKN 1 BAKAM</t>
  </si>
  <si>
    <t>SMKN2 Tanjungpandan</t>
  </si>
  <si>
    <t>SMK NEGERI 1 TANJUNGPANDAN</t>
  </si>
  <si>
    <t>SMK Negeri 3 Tanjungpandan</t>
  </si>
  <si>
    <t>SMK Negeri 1 Badau</t>
  </si>
  <si>
    <t>SMKN 1 SELAT NASIK</t>
  </si>
  <si>
    <t>SMK 1 KOBA</t>
  </si>
  <si>
    <t>SMK 2 KOBA</t>
  </si>
  <si>
    <t>SMK 1 PANGKALANBARU</t>
  </si>
  <si>
    <t>SMKN 1 Sungaiselan</t>
  </si>
  <si>
    <t>SMKN 1 Simpangkatis</t>
  </si>
  <si>
    <t>SMK NEGERI 1 KELAPA</t>
  </si>
  <si>
    <t>SMKN 1 TEMPILANG</t>
  </si>
  <si>
    <t>SMK N 1 Muntok</t>
  </si>
  <si>
    <t>SMK NEGERI 1 PARITTIGA</t>
  </si>
  <si>
    <t>SMK N 1 PAYUNG</t>
  </si>
  <si>
    <t>SMK NEGERI 1 SIMPANG RIMBA</t>
  </si>
  <si>
    <t>SMK N 1 Toboali</t>
  </si>
  <si>
    <t>SMKN 1 PULAU BESAR</t>
  </si>
  <si>
    <t>SMK N 1 TUKAK SADAI</t>
  </si>
  <si>
    <t>SMKN 1 Air Gegas</t>
  </si>
  <si>
    <t>SMKN 1 Dendang</t>
  </si>
  <si>
    <t>smk negeri 1 manggar</t>
  </si>
  <si>
    <t>SMK Negeri 1 Kelapa Kampit</t>
  </si>
  <si>
    <t>SMKN 1 SIMPANG RENGGIANG</t>
  </si>
  <si>
    <t>SMKN 4 Pangkalpinang</t>
  </si>
  <si>
    <t>SMK NEGERI 1 PK.PINANG</t>
  </si>
  <si>
    <t>SMK NEGERI 2 PANGKALPINANG</t>
  </si>
  <si>
    <t>SMK NEGERI 3 PANGKALPINANG</t>
  </si>
  <si>
    <t>SMKN 5 PANGKALPINANG</t>
  </si>
  <si>
    <t>SLB N SUNGAILIAT</t>
  </si>
  <si>
    <t>SLB N TANJUNGPANDAN</t>
  </si>
  <si>
    <t>SLB N KOBA</t>
  </si>
  <si>
    <t>SLB Negeri TOBOALI</t>
  </si>
  <si>
    <t>SLBN Manggar</t>
  </si>
  <si>
    <t>SLB N 31 PKLK NEGERI PANGKALPINANG</t>
  </si>
  <si>
    <t>SLBN MUNTOK</t>
  </si>
  <si>
    <t>SMKN 1 SIMPANG TERITIP</t>
  </si>
  <si>
    <t>SMKN 1 SIJUK</t>
  </si>
  <si>
    <t>REKAPITULASI IURAN PENGEMBANGAN PENDIDIKAN (IPP)</t>
  </si>
  <si>
    <t>IURAN PENGEMBANGAN PENDIDIKAN</t>
  </si>
  <si>
    <t>REKAPITULASI BOS APBN</t>
  </si>
  <si>
    <t>BOS APBN</t>
  </si>
  <si>
    <t>SMAN 1 PANGKALPINANG</t>
  </si>
  <si>
    <t>SMAN 2 PANGKALPINANG</t>
  </si>
  <si>
    <t>SMAN 3 PANGKALPINANG</t>
  </si>
  <si>
    <t>SMAN 4 PANGKALPINANG</t>
  </si>
  <si>
    <t>SMKN 1 PANGKALPNANG</t>
  </si>
  <si>
    <t>SMKN 2 PANGKALPINANG</t>
  </si>
  <si>
    <t>SMKN 3 PANGKALPINANG</t>
  </si>
  <si>
    <t>SMKN 4 PANGKALPINANG</t>
  </si>
  <si>
    <t>SMAN 1 BAKAM</t>
  </si>
  <si>
    <t>SMA Negeri 1 Mendobarat</t>
  </si>
  <si>
    <t>SMA Negeri 2 Mendobarat</t>
  </si>
  <si>
    <t>SMA Negeri 1 Puding Besar</t>
  </si>
  <si>
    <t>SMA Negeri 2 Puding Besar</t>
  </si>
  <si>
    <t>SMA Negeri 1 Belinyu</t>
  </si>
  <si>
    <t>SMA Negeri 1 Merawang</t>
  </si>
  <si>
    <t>SMA Negeri 1 Pemali</t>
  </si>
  <si>
    <t>SMA Negeri 1 Riau Silip</t>
  </si>
  <si>
    <t>SMA Negeri 1 Sungailiat</t>
  </si>
  <si>
    <t>SMK Negeri 1 Bakam</t>
  </si>
  <si>
    <t>SMK Negeri 1 Belinyu</t>
  </si>
  <si>
    <t>SMK Negeri 1 Mendo Barat</t>
  </si>
  <si>
    <t>SMK Negeri 1 Sungailiat</t>
  </si>
  <si>
    <t>SMA Negeri 1 Jebus</t>
  </si>
  <si>
    <t>SMA Negeri 1 Kelapa</t>
  </si>
  <si>
    <t>SMA Negeri 1 Muntok</t>
  </si>
  <si>
    <t>SMA Negeri 1 Parit Tiga</t>
  </si>
  <si>
    <t>SMA Negeri 1 Simpang Teritip</t>
  </si>
  <si>
    <t>SMA Negeri 1 Tempilang</t>
  </si>
  <si>
    <t>SMK Negeri 1 Simpang Teritip</t>
  </si>
  <si>
    <t>SMK Negeri 1 Kelapa</t>
  </si>
  <si>
    <t>SMK Negeri 1 Mentok</t>
  </si>
  <si>
    <t>SMK Negeri 1 Parittiga</t>
  </si>
  <si>
    <t>SMK Negeri 1 Tempilang</t>
  </si>
  <si>
    <t>SMA Negeri 1 Koba</t>
  </si>
  <si>
    <t>SMA Negeri 1 Lubukbesar</t>
  </si>
  <si>
    <t>SMA Negeri 1 Namang</t>
  </si>
  <si>
    <t>SMA Negeri 1 Pangkalanbaru</t>
  </si>
  <si>
    <t>SMA Negeri 1 Sungaiselan</t>
  </si>
  <si>
    <t>SMA Negeri 2  Sungaiselan</t>
  </si>
  <si>
    <t>SMK Negeri 1 Koba</t>
  </si>
  <si>
    <t>SMK Negeri 2 Koba</t>
  </si>
  <si>
    <t>SMK Negeri 1 Pangkalanbaru</t>
  </si>
  <si>
    <t>SMK Negeri 1 Simpangkatis</t>
  </si>
  <si>
    <t>SMK Negeri 1 Sungaiselan</t>
  </si>
  <si>
    <t>SMA Negeri 1 Air Gegas</t>
  </si>
  <si>
    <t>SMA Negeri 1 Kep. Pongok</t>
  </si>
  <si>
    <t>SMA Negeri 1 Lepar Pongok</t>
  </si>
  <si>
    <t>SMA Negeri 1 Payung</t>
  </si>
  <si>
    <t>SMA Negeri 1 Pulau Besar</t>
  </si>
  <si>
    <t>SMA Negeri 1 Simpang Rimba</t>
  </si>
  <si>
    <t>SMA Negeri 1 Toboali</t>
  </si>
  <si>
    <t>SMA Negeri 2 Toboali</t>
  </si>
  <si>
    <t>SMK Negeri 1 Airgegas</t>
  </si>
  <si>
    <t>SMK Negeri 1 Payung</t>
  </si>
  <si>
    <t>SMK Negeri 1 Simpangrimba</t>
  </si>
  <si>
    <t>SMK Negeri 1 Toboali</t>
  </si>
  <si>
    <t>SMK Negeri 1 Tukak Sadai</t>
  </si>
  <si>
    <t>SMK Negeri 1 Pulau Besar</t>
  </si>
  <si>
    <t>SMA Negeri 1 Membalong</t>
  </si>
  <si>
    <t>SMA Negeri 1 Sijuk</t>
  </si>
  <si>
    <t>SMA Negeri 1 Tanjung Pandan</t>
  </si>
  <si>
    <t>SMA Negeri 2 Tanjung Pandan</t>
  </si>
  <si>
    <t>SMK Negeri 1 Selat Nasik</t>
  </si>
  <si>
    <t>SMK Negeri 1 Tanjungpandan</t>
  </si>
  <si>
    <t>SMK Negeri 2 Tanjungpandan</t>
  </si>
  <si>
    <t>SMA Negeri 1 Gantung</t>
  </si>
  <si>
    <t>SMA Negeri 1 KelapaKampit</t>
  </si>
  <si>
    <t>SMA Negeri 1 Manggar</t>
  </si>
  <si>
    <t>SMA Negeri 1 Simpangpesak</t>
  </si>
  <si>
    <t>SMK Negeri 1 Dendang</t>
  </si>
  <si>
    <t>SMK Negeri 1 Manggar</t>
  </si>
  <si>
    <t>SMK Negeri 1 Simpang Renggiang</t>
  </si>
  <si>
    <t>SMA Keberbakatan Olahraga</t>
  </si>
  <si>
    <t>SLB Negeri Pangkalpinang</t>
  </si>
  <si>
    <t>SLB Negeri Sungailiat</t>
  </si>
  <si>
    <t>SLB Negeri Mentok</t>
  </si>
  <si>
    <t>SLB Negeri Toboali</t>
  </si>
  <si>
    <t>SLB Negeri Koba</t>
  </si>
  <si>
    <t>SLB Negeri Tanjung Pandan</t>
  </si>
  <si>
    <t>SLB Negeri Manggar</t>
  </si>
  <si>
    <t>REKAPITULASI BEBAN BANTUAN PEMERINTAH (BANPER)</t>
  </si>
  <si>
    <t>Beban Habis Pakai (Banper)</t>
  </si>
  <si>
    <t>Beban Honorarium Pegawai (Banper)</t>
  </si>
  <si>
    <t>Beban Administrasi Bank (Banper)</t>
  </si>
  <si>
    <t xml:space="preserve">REKAPITULASI BEBAN IURAN PENGEMBANGAN </t>
  </si>
  <si>
    <t>Beban Jasa Pegawai (IPP)</t>
  </si>
  <si>
    <t>Beban Barang Jasa (IPP)</t>
  </si>
  <si>
    <t>Beban Lain-lain (IPP)</t>
  </si>
  <si>
    <t>Beban Administrasi Bank (IPP)</t>
  </si>
  <si>
    <t>REKAPITULASI SALDO KAS APBN</t>
  </si>
  <si>
    <t>dalam Rp</t>
  </si>
  <si>
    <t>SISA KAS BOS APBN</t>
  </si>
  <si>
    <t>BANK</t>
  </si>
  <si>
    <t>TUNAI</t>
  </si>
  <si>
    <t>REKAPITULASI PENDAPATAN BANTUAN PEMERINTAH</t>
  </si>
  <si>
    <t>PENDAPATAN BUNGA BANK (BANPER)</t>
  </si>
  <si>
    <t>REKAPITULASI PENDAPATAN IURAN PENGEMBANGAN PENDIDIKAN (IPP)</t>
  </si>
  <si>
    <t>PENDAPATAN BUNGA BANK (IPP)</t>
  </si>
  <si>
    <t>REKAPITULASI SALDO KAS BANTUAN PEMERINTAH</t>
  </si>
  <si>
    <t>REKAPITULASI SALDO KAS IURAN PENGEMBANGAN PENDIDIKAN (IPP)</t>
  </si>
  <si>
    <t>SALDO KAS IURAN PENGEMBANGAN PENDIDIKAN (IPP)</t>
  </si>
  <si>
    <t>DAFTAR PENERIMAAN HIBAH TAHUN 2018</t>
  </si>
  <si>
    <t>PENDAPATAN HIBAH DARI PEMERINTAH</t>
  </si>
  <si>
    <t>027/JP/Dinkes/2018</t>
  </si>
  <si>
    <t>Peralatan Personal Komputer</t>
  </si>
  <si>
    <t>047/JP/Dinkes/2018</t>
  </si>
  <si>
    <t>Persediaan Bahan obat-obatan</t>
  </si>
  <si>
    <t>100/hibah PM/DKP</t>
  </si>
  <si>
    <t>Alat Laboratorium Microbiologi</t>
  </si>
  <si>
    <t>101/hibah PM/DKP</t>
  </si>
  <si>
    <t>Alat Laboratorium Kimia Air</t>
  </si>
  <si>
    <t>102/hibah PM/DKP</t>
  </si>
  <si>
    <t>Alat Laboratorium Kedokteran</t>
  </si>
  <si>
    <t>103/hibah PM/DKP</t>
  </si>
  <si>
    <t>Alat Laboratorium Makanan</t>
  </si>
  <si>
    <t>27/AJP/disnaker/2018</t>
  </si>
  <si>
    <t>Persediaan Bahan baku bangunan</t>
  </si>
  <si>
    <t>29/AJP/disnaker/2018</t>
  </si>
  <si>
    <t>Kendaraan Bermotor Khusus</t>
  </si>
  <si>
    <t>Perkakas Bengkel Listrik</t>
  </si>
  <si>
    <t>Alat Kantor Lainnya</t>
  </si>
  <si>
    <t>Peralatan Audio</t>
  </si>
  <si>
    <t>Alat Laboratorium Logam, Mesin, Listrik</t>
  </si>
  <si>
    <t>Jalan Kabupaten/Kota</t>
  </si>
  <si>
    <t>30/AJP/disnaker/2018</t>
  </si>
  <si>
    <t>58/hibah/DKP</t>
  </si>
  <si>
    <t>Instalasi Pusat Pengatur Listrik</t>
  </si>
  <si>
    <t>59/hibah PM/DKP</t>
  </si>
  <si>
    <t>Alat-alat Bantu Pompa</t>
  </si>
  <si>
    <t>60/hibah PM/DKP</t>
  </si>
  <si>
    <t>61/hibah PM/DKP</t>
  </si>
  <si>
    <t>62/hibah PM/DKP</t>
  </si>
  <si>
    <t>63/hibah PM/DKP</t>
  </si>
  <si>
    <t>64/hibah PM/DKP</t>
  </si>
  <si>
    <t>65/hibah PM/DKP</t>
  </si>
  <si>
    <t>67/hibah PM/DKP</t>
  </si>
  <si>
    <t>68/hibah PM/DKP</t>
  </si>
  <si>
    <t>69/hibah PM/DKP</t>
  </si>
  <si>
    <t>70/hibah PM/DKP</t>
  </si>
  <si>
    <t>Kendaraan Bermotor Beroda Dua</t>
  </si>
  <si>
    <t>71/hibah PM/DKP</t>
  </si>
  <si>
    <t>Kendaraan Bermotor Penumpang</t>
  </si>
  <si>
    <t>72/hibah PM/DKP</t>
  </si>
  <si>
    <t>73/hibah PM/DKP</t>
  </si>
  <si>
    <t>Peralatan Las</t>
  </si>
  <si>
    <t>74/hibah PM/DKP</t>
  </si>
  <si>
    <t>75/hibah PM/DKP</t>
  </si>
  <si>
    <t>Perkakas Bengkel Service</t>
  </si>
  <si>
    <t>76/hibah PM/DKP</t>
  </si>
  <si>
    <t>Perkakas Standar (Standart Tool)</t>
  </si>
  <si>
    <t>77/hibah PM/DKP</t>
  </si>
  <si>
    <t>Alat Procesing</t>
  </si>
  <si>
    <t>78/hibah PM/DKP</t>
  </si>
  <si>
    <t>Alat Laboratorium Pertanian</t>
  </si>
  <si>
    <t>79/hibah PM/DKP</t>
  </si>
  <si>
    <t>Alat Penyimpanan Perlengkapan Kantor</t>
  </si>
  <si>
    <t>80/hibah PM/DKP</t>
  </si>
  <si>
    <t>Alat Rumah Tangga Lainnya (Home Use)</t>
  </si>
  <si>
    <t>81/hibah PM/DKP</t>
  </si>
  <si>
    <t>Alat-alat Bantu Electric Generating Set</t>
  </si>
  <si>
    <t>82/hibah PM/DKP</t>
  </si>
  <si>
    <t>83/hibah PM/DKP</t>
  </si>
  <si>
    <t>Alat Pembersih</t>
  </si>
  <si>
    <t>84/hibah PM/DKP</t>
  </si>
  <si>
    <t>Alat Pendingin</t>
  </si>
  <si>
    <t>85/hibah PM/DKP</t>
  </si>
  <si>
    <t>Alat Dapur</t>
  </si>
  <si>
    <t>86/hibah PM/DKP</t>
  </si>
  <si>
    <t>87/hibah PM/DKP</t>
  </si>
  <si>
    <t>88/hibah PM/DKP</t>
  </si>
  <si>
    <t>Alat Laboratorium Lingkungan Perairan</t>
  </si>
  <si>
    <t>89/hibah PM/DKP</t>
  </si>
  <si>
    <t>90/hibah PM/DKP</t>
  </si>
  <si>
    <t>Alat Laboratorium Umum</t>
  </si>
  <si>
    <t>91/hibah PM/DKP</t>
  </si>
  <si>
    <t>Alat Laboratorium Klimatologi</t>
  </si>
  <si>
    <t>92/hibah PM/DKP</t>
  </si>
  <si>
    <t>Alat Laboratorium Kimia</t>
  </si>
  <si>
    <t>93/hibah PM/DKP</t>
  </si>
  <si>
    <t>94/hibah PM/DKP</t>
  </si>
  <si>
    <t>Alat Laboratorium Fisika</t>
  </si>
  <si>
    <t>95/hibah PM/DKP</t>
  </si>
  <si>
    <t>97/hibah PM/DKP</t>
  </si>
  <si>
    <t>98/hibah PM/DKP</t>
  </si>
  <si>
    <t>99/hibah PM/DKP</t>
  </si>
  <si>
    <t>001/BANPER</t>
  </si>
  <si>
    <t>Kas DIbendahara Sekolah (Banper)</t>
  </si>
  <si>
    <t>001/BANPER SMA RUJUKAN/SMAN1 KB/2018</t>
  </si>
  <si>
    <t>001/BANPER/SLBKOBA/2018</t>
  </si>
  <si>
    <t>001/BANPER/SLBNMGR/2018</t>
  </si>
  <si>
    <t>001/BANPER/SLBNMUNTOK/2018</t>
  </si>
  <si>
    <t>001/BANPER/SLBNPKP/2018</t>
  </si>
  <si>
    <t>001/BANPER/SLBNS.LIAT/2018</t>
  </si>
  <si>
    <t>001/BANPER/SLBNTOBOALI/2018</t>
  </si>
  <si>
    <t>001/BANPER/SLBNTP/2018</t>
  </si>
  <si>
    <t>001/BANPER/SMA N 1 PAYUNG/2018</t>
  </si>
  <si>
    <t>001/BANPER/SMAN 1 AIRGEGAS/2018</t>
  </si>
  <si>
    <t>001/BANPER/SMAN1BAKAM/2018</t>
  </si>
  <si>
    <t>Peralatan dan Mesin Dana Banper</t>
  </si>
  <si>
    <t>Gedung dan Bangunan (banper)</t>
  </si>
  <si>
    <t>001/BANPER/SMAN1DAMAR/2018</t>
  </si>
  <si>
    <t>001/BANPER/SMAN1GTG/2018</t>
  </si>
  <si>
    <t>001/BANPER/SMAN1KEPONG/2018</t>
  </si>
  <si>
    <t>001/BANPER/SMAN1MANGGAR/2018</t>
  </si>
  <si>
    <t>001/BANPER/SMAN1MBL/2018</t>
  </si>
  <si>
    <t>001/Banper/SMAN1Mendobarat/2018</t>
  </si>
  <si>
    <t>001/BANPER/SMAN1MUNTOK/2018</t>
  </si>
  <si>
    <t>001/BANPER/SMAN1PARITTIGA/2018</t>
  </si>
  <si>
    <t>001/BANPER/SMAN1PB/2018</t>
  </si>
  <si>
    <t>001/BANPER/SMAN1PBES/2018</t>
  </si>
  <si>
    <t>001/BANPER/SMAN1PKP/2018</t>
  </si>
  <si>
    <t>001/BANPER/sman1simpangpesak/2018</t>
  </si>
  <si>
    <t>Personal Komputer (banper)</t>
  </si>
  <si>
    <t>001/banper/sman1slt/2018</t>
  </si>
  <si>
    <t>001/banper/sman1toboali/2018</t>
  </si>
  <si>
    <t>001/BANPER/SMAN2MB/2018</t>
  </si>
  <si>
    <t>001/BANPER/SMAN2PUDINGBESAR/2018</t>
  </si>
  <si>
    <t>001/BANPER/SMAN2SUNGAISELAN/2018</t>
  </si>
  <si>
    <t>001/BANPER/SMAN2TOBOALI/2018</t>
  </si>
  <si>
    <t>Komputer Unit/Jaringan (banper)</t>
  </si>
  <si>
    <t>001/BANPER/SMAN3PKP/2018</t>
  </si>
  <si>
    <t>001/BANPER/SMAN4PKP/2018</t>
  </si>
  <si>
    <t>001/BANPER/SMKN1BDU/2018</t>
  </si>
  <si>
    <t>001/BANPER/SMKN1BELINYU/2018</t>
  </si>
  <si>
    <t>001/banper/smkn1bkm/2018</t>
  </si>
  <si>
    <t>001/BANPER/SMKN1KB/2018</t>
  </si>
  <si>
    <t>001/BANPER/SMKN1KELAPA/2018</t>
  </si>
  <si>
    <t>001/BANPER/SMKN1MANGGAR/2018</t>
  </si>
  <si>
    <t>001/banper/smkn1mb/2018</t>
  </si>
  <si>
    <t>001/BANPER/SMKN1PANGKALANBARU2018</t>
  </si>
  <si>
    <t>001/BANPER/SMKN1PAYUNG/2018</t>
  </si>
  <si>
    <t>001/BANPER/SMKN1PULAUBESAR/2018</t>
  </si>
  <si>
    <t>001/BANPER/SMKN1SLT/2018</t>
  </si>
  <si>
    <t>001/BANPER/SMKN1SPKATIS/2018</t>
  </si>
  <si>
    <t>001/BANPER/SMKN1SS/2018</t>
  </si>
  <si>
    <t>001/banper/smkn1toboali/2018</t>
  </si>
  <si>
    <t>001/BANPER/SMKN1TP/2018</t>
  </si>
  <si>
    <t>001/BANPER/SMKN1TPL/2018</t>
  </si>
  <si>
    <t>001/BANPER/SMKN2PKP/2018</t>
  </si>
  <si>
    <t>001/BANPER/SMKN2SL/2018/REKONNERACA</t>
  </si>
  <si>
    <t>001/BANPER/SMKN3PKP/2018</t>
  </si>
  <si>
    <t>001/BANPERRKB/SMAN 1 LUBUK BESAR/2018</t>
  </si>
  <si>
    <t>001/JP-ASET/SMAN1KK/2018/REKONNERACA</t>
  </si>
  <si>
    <t>001/JP-ASET/SMAN1TEMPILANG/2018/REKONNERACA</t>
  </si>
  <si>
    <t>Peralatan Jaringan (banper)</t>
  </si>
  <si>
    <t>001/JP-ASET/SMK1TS/2018/REKONNERACA</t>
  </si>
  <si>
    <t>Gedung dan Bangunan Dana Banper</t>
  </si>
  <si>
    <t>001/JP-HIBAHASET/SMA1PUBES/2018/REKONNERACA</t>
  </si>
  <si>
    <t>001/pengembalianbanper/SMKN2KOBA/2018</t>
  </si>
  <si>
    <t>002/BANPER/SMAN1PARITTIGA/2018</t>
  </si>
  <si>
    <t>Peralatan Komputer Mainframe (banper)</t>
  </si>
  <si>
    <t>002/BANPER/SMAN2SUNGAISELAN/2018</t>
  </si>
  <si>
    <t>002/BANPER/SMKN1PULAUBESAR/2018</t>
  </si>
  <si>
    <t>Peralatan dan Mesin (banper)</t>
  </si>
  <si>
    <t>002/BANPER/SMKN1SELATNASIK/2018</t>
  </si>
  <si>
    <t>002/BAPER/SMKN1PKP/2018</t>
  </si>
  <si>
    <t>002/JP-ASET/SLBPKP/2018/REKONNERACA</t>
  </si>
  <si>
    <t>Aset Tetap Lainnya Dana Banper</t>
  </si>
  <si>
    <t>002/JP-HIBAHASETSMA1PYG/2018/REKONNERACA</t>
  </si>
  <si>
    <t>002/JPE/KOREKSI BPK/2018</t>
  </si>
  <si>
    <t>KOREKSI PAJE 2 [Koreksi kurang catat Aset Tetap dari Kementerian Pertanian]</t>
  </si>
  <si>
    <t>003/BANPER/SLBNMUNTOK/2018</t>
  </si>
  <si>
    <t>003/BANPER/SMKN1SELATNASIK/2018</t>
  </si>
  <si>
    <t>003/PENGEMBALIANBANPER/SMAN1MUNTOK/2018</t>
  </si>
  <si>
    <t>005/BANPER/SLBNMUNTOK/2018</t>
  </si>
  <si>
    <t>005/JPE/SMKN1MUNTOK/2018</t>
  </si>
  <si>
    <t>010/BANPER/SMKN1PANGKALANBARU/2018</t>
  </si>
  <si>
    <t>Alat Kantor Lainnya (banper)</t>
  </si>
  <si>
    <t xml:space="preserve">Gedung dan Bangunan </t>
  </si>
  <si>
    <t>010/BANPER/SMKN4PKP/2018</t>
  </si>
  <si>
    <t>010/INPTD/2018</t>
  </si>
  <si>
    <t>012/BANPER/SMAN 1 NAMANG/2018</t>
  </si>
  <si>
    <t>013/BANPER/SMAN1TP/2018-PENERIMAAN BANPER</t>
  </si>
  <si>
    <t>013/BANPER/SMKN2TP/2018</t>
  </si>
  <si>
    <t>013/BAPER/SMAN1SIJUK/2018</t>
  </si>
  <si>
    <t>020/BANPER/SMKN2KOBA/2018</t>
  </si>
  <si>
    <t>021/BANPER/SMAN1PEMALI/2018</t>
  </si>
  <si>
    <t>022/BANPER/SMKN2KOBA/2018</t>
  </si>
  <si>
    <t>025/Pendapatan/SMKN2KOBA/2018</t>
  </si>
  <si>
    <t>045/JPE/KOREKSI BPK/2018</t>
  </si>
  <si>
    <t>KOREKSI PAJE 45 (KOREKSI PENGAKUAN PENDAPATAN DAN PERSEDIAAN BELUM DIDUKUNG BAST HIBAH</t>
  </si>
  <si>
    <t>050/JPE/DISPERINDAG/2018</t>
  </si>
  <si>
    <t>052/PERTANIAN/2018</t>
  </si>
  <si>
    <t>Persediaan Bibit ternak</t>
  </si>
  <si>
    <t>066/JBalik/DK/2018</t>
  </si>
  <si>
    <t>07/BANPER/SLBNMUNTOK/2018</t>
  </si>
  <si>
    <t>075/JPenyesuaian/DK/2018</t>
  </si>
  <si>
    <t>142/hibah PM/DKP</t>
  </si>
  <si>
    <t>Alat Reproduksi (Pengganda)</t>
  </si>
  <si>
    <t>20-LK/hibah/dishut/2018</t>
  </si>
  <si>
    <t>Alat Ukur universal</t>
  </si>
  <si>
    <t>Peralatan Studio Visual</t>
  </si>
  <si>
    <t>31/AJP2/disnaker/2018</t>
  </si>
  <si>
    <t>Kendaraan Dinas Bermotor Perorangan</t>
  </si>
  <si>
    <t>444/Jurnal/bakuda/2019</t>
  </si>
  <si>
    <t>PENDAPATAN BUNGA BANK REKENING HIBAH PEMERINTAH</t>
  </si>
  <si>
    <t>001/BUNGABANPER/SMKN1SS/2018</t>
  </si>
  <si>
    <t>001/BUNGABANPER/SMKN1TJ/2018</t>
  </si>
  <si>
    <t>001/bungabanper/smkn1toboali/2018</t>
  </si>
  <si>
    <t>001/PENDAPATANBUNGABANPER/SMAN2SUNGAISELAN/2018</t>
  </si>
  <si>
    <t>001/PENDAPATANBUNGABANPER/SMKN1PANGKALANBARU/2018</t>
  </si>
  <si>
    <t>002/BANPER/2018</t>
  </si>
  <si>
    <t>002/BANPER/SMKN1BDU/2018</t>
  </si>
  <si>
    <t>002/bungabanper/smkn1tukaksadai/2018</t>
  </si>
  <si>
    <t>003/PENDAPATAN/SMKN1KB/2018</t>
  </si>
  <si>
    <t>004/BANPER/SMKN1SELATNASIK/2018</t>
  </si>
  <si>
    <t>006/BANPER/SMKN1PULAUBESAR/2018</t>
  </si>
  <si>
    <t>015/BANPER/SMKN2TP/2018</t>
  </si>
  <si>
    <t>PENDAPATAN HIBAH DARI PEMERINTAH DAERAH LAINNYA</t>
  </si>
  <si>
    <t>01/HIBAH</t>
  </si>
  <si>
    <t>011/LPE</t>
  </si>
  <si>
    <t>02/HIBAH</t>
  </si>
  <si>
    <t>Alat Ukur Lainnya</t>
  </si>
  <si>
    <t>03/HIBAH</t>
  </si>
  <si>
    <t>04/HIBAH</t>
  </si>
  <si>
    <t>Peralatan Studio Video dan Film</t>
  </si>
  <si>
    <t>05/HIBAH</t>
  </si>
  <si>
    <t>001/JPE/KOREKSIBPK/2018</t>
  </si>
  <si>
    <t>KOREKSI PAJE 1 [Koreksi kurang catat Aset Tetap atas BAST Hibah Dari Belitung Timur dan Kementerian]</t>
  </si>
  <si>
    <t>137/hibah PM/DKP</t>
  </si>
  <si>
    <t>Alat-Alat Besar Darat Mesin Proses</t>
  </si>
  <si>
    <t>138/hibah PM/DKP</t>
  </si>
  <si>
    <t>Alat Angkut Apung Bermotor Khusus</t>
  </si>
  <si>
    <t>139/hibah PM/DKP</t>
  </si>
  <si>
    <t>140/hibah PM/DKP</t>
  </si>
  <si>
    <t>141/hibah PM/DKP</t>
  </si>
  <si>
    <t>Perkakas Pabrik Es</t>
  </si>
  <si>
    <t>143/hibah PM/DKP</t>
  </si>
  <si>
    <t>144/hibah PM/DKP</t>
  </si>
  <si>
    <t>145/hibah PM/DKP</t>
  </si>
  <si>
    <t>Alat Komunikasi Radio SSB</t>
  </si>
  <si>
    <t>146/hibah PM/DKP</t>
  </si>
  <si>
    <t>Alat Komunikasi Radio VHF</t>
  </si>
  <si>
    <t>147/hibah GB/DKP</t>
  </si>
  <si>
    <t>Mess/Wisma/Bungalow/Tempat Peristirahatan</t>
  </si>
  <si>
    <t>148/hibah GB/DKP</t>
  </si>
  <si>
    <t>Bangunan Gudang</t>
  </si>
  <si>
    <t>149/hibah GB/DKP</t>
  </si>
  <si>
    <t>Bangunan Gedung Terminal/Pelabuhan/Bandar</t>
  </si>
  <si>
    <t>150/hibah GB/DKP</t>
  </si>
  <si>
    <t>151/hibah GB/DKP</t>
  </si>
  <si>
    <t>Bangunan Pengaman Irigasi</t>
  </si>
  <si>
    <t>152/hibah GB/DKP</t>
  </si>
  <si>
    <t>Bangunan Pelengkap Irigasi</t>
  </si>
  <si>
    <t>153/hibah GB/DKP</t>
  </si>
  <si>
    <t>154/hibah JIJ/DKP</t>
  </si>
  <si>
    <t>Jaringan Distribusi</t>
  </si>
  <si>
    <t>155/hibah JIJ/DKP</t>
  </si>
  <si>
    <t>156/hibah JIJ/DKP</t>
  </si>
  <si>
    <t>PENDAPATAN HIBAH DARI BADAN/LEMBAGA/ORGANISASI SWASTA</t>
  </si>
  <si>
    <t>018/JURNAL PENYESUAIAN/SETDA/2018</t>
  </si>
  <si>
    <t>PENDAPATAN HIBAH PERORANGAN</t>
  </si>
  <si>
    <t>001/Hibah/Perorangan/2018/REKONNERACA</t>
  </si>
  <si>
    <t>Gedung dan Bangunan Dana Bantuan Perorangan</t>
  </si>
  <si>
    <t>PENDAPATAN HIBAH DARI ORANG TUA MURID</t>
  </si>
  <si>
    <t>001/IPP/SMKN1SIMPANGTERITIP/2018</t>
  </si>
  <si>
    <t>Kas diBendahara Sekolah (IPP)</t>
  </si>
  <si>
    <t>001/IPP PENERIMAAN/SMAN1PB/2018</t>
  </si>
  <si>
    <t>001/IPP/SLBNTP/2018</t>
  </si>
  <si>
    <t>001/IPP/SMAN 1 AIRGEGAS/2018</t>
  </si>
  <si>
    <t>001/IPP/SMAN 1 LUBUK BESAR/2018</t>
  </si>
  <si>
    <t>001/IPP/SMAN 1 Namang/2018</t>
  </si>
  <si>
    <t>001/IPP/SMAN 1 PAYUNG/2018</t>
  </si>
  <si>
    <t>001/IPP/SMAN1BAKAM/2018</t>
  </si>
  <si>
    <t>001/IPP/SMAN1BLY/2018</t>
  </si>
  <si>
    <t>001/IPP/SMAN1DAMAR/2018</t>
  </si>
  <si>
    <t>001/IPP/SMAN1GTG/2018</t>
  </si>
  <si>
    <t>001/IPP/SMAN1Jebus/2018</t>
  </si>
  <si>
    <t>001/IPP/SMAN1KB/2018</t>
  </si>
  <si>
    <t>001/IPP/SMAN1KELAPA/2018</t>
  </si>
  <si>
    <t>001/IPP/SMAN1KK/2018</t>
  </si>
  <si>
    <t>001/IPP/SMAN1LEPONG/2018</t>
  </si>
  <si>
    <t>001/IPP/SMAN1MANGGAR/2018</t>
  </si>
  <si>
    <t>001/IPP/SMAN1Mendobarat/2018</t>
  </si>
  <si>
    <t>001/IPP/SMAN1MRW/2018</t>
  </si>
  <si>
    <t>001/IPP/SMAN1MUNTOK/2018</t>
  </si>
  <si>
    <t>001/IPP/SMAN1PARITTIGA/2018</t>
  </si>
  <si>
    <t>001/IPP/SMAN1PB/2018</t>
  </si>
  <si>
    <t>001/IPP/SMAN1PBES/2018</t>
  </si>
  <si>
    <t>001/IPP/SMAN1PKP/2018</t>
  </si>
  <si>
    <t>001/IPP/SMAN1RIAUSILIP/2018</t>
  </si>
  <si>
    <t>001/IPP/sman1simpangpesak/2018</t>
  </si>
  <si>
    <t>001/IPP/sman1simpangrimba/2018</t>
  </si>
  <si>
    <t>001/IPP/sman1slt/2018</t>
  </si>
  <si>
    <t>001/IPP/SMAN1SS/2018</t>
  </si>
  <si>
    <t>001/IPP/SMAN1ST/2018</t>
  </si>
  <si>
    <t>001/iPP/SMAN1TEMPILANG/2018</t>
  </si>
  <si>
    <t>001/IPP/SMAN1TP/2018</t>
  </si>
  <si>
    <t>001/IPP/SMAN2MB/2018</t>
  </si>
  <si>
    <t>001/IPP/SMAN2PKP/2018</t>
  </si>
  <si>
    <t>001/IPP/SMAN2PUDINGBESAR/2018</t>
  </si>
  <si>
    <t>001/IPP/SMAN2SUNGAISELAN/2018</t>
  </si>
  <si>
    <t>001/IPP/SMAN2TP/2018</t>
  </si>
  <si>
    <t>001/IPP/SMAN3PKP/2018</t>
  </si>
  <si>
    <t>001/IPP/SMAN4PKP/2018</t>
  </si>
  <si>
    <t>001/IPP/SMKN 1 SIMPANG RIMBA/2018</t>
  </si>
  <si>
    <t>001/IPP/SMKN.5PKP/2018</t>
  </si>
  <si>
    <t>001/IPP/SMKN1BDU/2018</t>
  </si>
  <si>
    <t>001/IPP/SMKN1BELINYU/2018</t>
  </si>
  <si>
    <t>001/IPP/SMKN1DENDANG/2018</t>
  </si>
  <si>
    <t>001/IPP/SMKN1KB/2018</t>
  </si>
  <si>
    <t>001/IPP/SMKN1KELAPA/2018</t>
  </si>
  <si>
    <t>001/IPP/SMKN1KELAPAKAMPIT/2018</t>
  </si>
  <si>
    <t>001/IPP/SMKN1MANGGAR/2018</t>
  </si>
  <si>
    <t>001/IPP/smkn1mb/2018</t>
  </si>
  <si>
    <t>001/IPP/SMKN1PANGKALANBARU/2018</t>
  </si>
  <si>
    <t>001/IPP/SMKN1Parittiga/2018</t>
  </si>
  <si>
    <t>001/IPP/SMKN1PAYUNG/2018</t>
  </si>
  <si>
    <t>001/IPP/SMKN1PKP/2018</t>
  </si>
  <si>
    <t>001/IPP/SMKN1RENGGIANG/2018</t>
  </si>
  <si>
    <t>001/IPP/SMKN1SELATNASIK/2018</t>
  </si>
  <si>
    <t>001/IPP/SMKN1SIMPANGKATIS/2018</t>
  </si>
  <si>
    <t>001/IPP/SMKN1SLT/2018</t>
  </si>
  <si>
    <t>001/IPP/SMKN1SS/2018</t>
  </si>
  <si>
    <t>001/IPP/SMKN1TOBOALI/2018</t>
  </si>
  <si>
    <t>001/IPP/SMKN1TPL/2018</t>
  </si>
  <si>
    <t>001/IPP/SMKN1TUKAK/2018</t>
  </si>
  <si>
    <t>001/IPP/SMKN2SL/2018</t>
  </si>
  <si>
    <t>001/IPP/SMKN3PKP/2018</t>
  </si>
  <si>
    <t>001/ippr/smkn1bkm/2018</t>
  </si>
  <si>
    <t>001/IPPSMKN2PKP/2018</t>
  </si>
  <si>
    <t>001/SMKN1MUNTOK/2018</t>
  </si>
  <si>
    <t>002/IPP/SMKN1PULAUBESAR/2018</t>
  </si>
  <si>
    <t>003/IPP/SMAN4PKP/2018</t>
  </si>
  <si>
    <t>007/IPP/SMAN1MBL/2018</t>
  </si>
  <si>
    <t>011/IPP/SMKN4PKP/2018</t>
  </si>
  <si>
    <t>015/IPP/SMAN1SIJUK/2018</t>
  </si>
  <si>
    <t>015/IPP/SMKN1TP/2018</t>
  </si>
  <si>
    <t>015/IPP/SMKN2TANJUNGPANDAN/2018</t>
  </si>
  <si>
    <t>015/IPP/SMKN3TP/2018</t>
  </si>
  <si>
    <t>019/IPP/SMAN1PEMALI/2018</t>
  </si>
  <si>
    <t>023/IPP/SMKN2KOBA/2018</t>
  </si>
  <si>
    <t>PENDAPATAN BUNGA BANK REKENING HIBAH ORANG TUA MURID</t>
  </si>
  <si>
    <t>001/BUNGABANKIPP/SMA1/2018</t>
  </si>
  <si>
    <t>001/bungaipp/smkn1manggar/2018</t>
  </si>
  <si>
    <t>001/BUNGAIPP/SMKN1TP/2018</t>
  </si>
  <si>
    <t>001/IPPBUNGABANK/SMAN1MUNTOK/2018</t>
  </si>
  <si>
    <t>001/pendapatam/sman1manggar/2018</t>
  </si>
  <si>
    <t>001/PENDAPATANIPP/SMKN1KELAPAKAMPIT/2018</t>
  </si>
  <si>
    <t>002/IPP/SMKN1SELATNASIK/2018</t>
  </si>
  <si>
    <t>003/IPP PENGELUARAN/SMKN1MUNTOK/2018</t>
  </si>
  <si>
    <t>JUMLAH  PIUTANG RETRIBUSI</t>
  </si>
  <si>
    <t>JUMLAH PENYISIHAN TAGIHAN PENJUALAN ANGSURAN DAN PIUTANG LAINNYA</t>
  </si>
  <si>
    <t>TOTAL PENYISIHAN PIUTANG RETRIBUSI, PENJUALAN ANGSURAN, DAN PIUTANG LAINNYA</t>
  </si>
  <si>
    <t>- utang jangka pendek lainnya</t>
  </si>
  <si>
    <t>Beban Lain-lain</t>
  </si>
  <si>
    <t>Beban Barang</t>
  </si>
  <si>
    <t>NAMA SEKOLAH</t>
  </si>
</sst>
</file>

<file path=xl/styles.xml><?xml version="1.0" encoding="utf-8"?>
<styleSheet xmlns="http://schemas.openxmlformats.org/spreadsheetml/2006/main">
  <numFmts count="32">
    <numFmt numFmtId="42" formatCode="_(&quot;Rp&quot;* #,##0_);_(&quot;Rp&quot;* \(#,##0\);_(&quot;Rp&quot;* &quot;-&quot;_);_(@_)"/>
    <numFmt numFmtId="41" formatCode="_(* #,##0_);_(* \(#,##0\);_(* &quot;-&quot;_);_(@_)"/>
    <numFmt numFmtId="44" formatCode="_(&quot;Rp&quot;* #,##0.00_);_(&quot;Rp&quot;* \(#,##0.00\);_(&quot;Rp&quot;* &quot;-&quot;??_);_(@_)"/>
    <numFmt numFmtId="43" formatCode="_(* #,##0.00_);_(* \(#,##0.00\);_(* &quot;-&quot;??_);_(@_)"/>
    <numFmt numFmtId="164" formatCode="_-* #,##0.00_-;\-* #,##0.00_-;_-* &quot;-&quot;_-;_-@_-"/>
    <numFmt numFmtId="165" formatCode="[$-421]dd\ mmmm\ yyyy;@"/>
    <numFmt numFmtId="166" formatCode="[$-409]d\-mmm\-yyyy;@"/>
    <numFmt numFmtId="167" formatCode="_(&quot;$&quot;* #,##0_);_(&quot;$&quot;* \(#,##0\);_(&quot;$&quot;* &quot;-&quot;_);_(@_)"/>
    <numFmt numFmtId="168" formatCode="_([$Rp-421]* #,##0.00_);_([$Rp-421]* \(#,##0.00\);_([$Rp-421]* &quot;-&quot;??_);_(@_)"/>
    <numFmt numFmtId="169" formatCode="_-* #,##0_-;\-* #,##0_-;_-* &quot;-&quot;_-;_-@_-"/>
    <numFmt numFmtId="170" formatCode="_-&quot;Rp&quot;* #,##0.00_-;\-&quot;Rp&quot;* #,##0.00_-;_-&quot;Rp&quot;* &quot;-&quot;??_-;_-@_-"/>
    <numFmt numFmtId="171" formatCode="_ * #,##0.00_ ;_ * \-#,##0.00_ ;_ * &quot;-&quot;??_ ;_ @_ "/>
    <numFmt numFmtId="172" formatCode="0.0"/>
    <numFmt numFmtId="173" formatCode="&quot;$&quot;#,##0.00_);[Red]\(&quot;$&quot;#,##0.00\)"/>
    <numFmt numFmtId="174" formatCode="_(&quot;Rp&quot;* #,##0.00_);_(&quot;Rp&quot;* \(#,##0.00\);_(&quot;Rp&quot;* &quot;-&quot;_);_(@_)"/>
    <numFmt numFmtId="175" formatCode="mm/dd/yy;@"/>
    <numFmt numFmtId="176" formatCode="#,##0.00;[Red]#,##0.00"/>
    <numFmt numFmtId="177" formatCode="mmmm\ yyyy"/>
    <numFmt numFmtId="178" formatCode="_(&quot;$&quot;* #,##0.00_);_(&quot;$&quot;* \(#,##0.00\);_(&quot;$&quot;* &quot;-&quot;??_);_(@_)"/>
    <numFmt numFmtId="179" formatCode="_-* #,##0.00_-;\-* #,##0.00_-;_-* &quot;-&quot;??_-;_-@_-"/>
    <numFmt numFmtId="180" formatCode="_([$Rp-421]* #,##0.0_);_([$Rp-421]* \(#,##0.0\);_([$Rp-421]* &quot;-&quot;?_);_(@_)"/>
    <numFmt numFmtId="181" formatCode="_-* #,##0_-;\-* #,##0_-;_-* &quot;-&quot;??_-;_-@_-"/>
    <numFmt numFmtId="182" formatCode="_(* #,##0.00_);_(* \(#,##0.00\);_(* &quot;-&quot;_);_(@_)"/>
    <numFmt numFmtId="183" formatCode="_-[$Rp-421]* #,##0.00_-;\-[$Rp-421]* #,##0.00_-;_-[$Rp-421]* &quot;-&quot;??_-;_-@_-"/>
    <numFmt numFmtId="184" formatCode="#,##0.00_);\(#,##0.00\);\-"/>
    <numFmt numFmtId="185" formatCode="_-* #,##0.0_-;\-* #,##0.0_-;_-* &quot;-&quot;_-;_-@_-"/>
    <numFmt numFmtId="186" formatCode="_(* #,##0.0_);_(* \(#,##0.0\);_(* &quot;-&quot;_);_(@_)"/>
    <numFmt numFmtId="187" formatCode="#,##0;[Red]#,##0"/>
    <numFmt numFmtId="188" formatCode="_(* #,##0_);_(* \(#,##0\);_(* &quot;-&quot;??_);_(@_)"/>
    <numFmt numFmtId="189" formatCode="&quot;Rp&quot;#,##0;[Red]&quot;Rp&quot;#,##0"/>
    <numFmt numFmtId="190" formatCode="[$-F800]dddd\,\ mmmm\ dd\,\ yyyy"/>
    <numFmt numFmtId="191" formatCode="dd\-mmm\-yyyy"/>
  </numFmts>
  <fonts count="135">
    <font>
      <sz val="10"/>
      <name val="Arial"/>
      <charset val="134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8"/>
      <name val="Arial"/>
      <family val="2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indexed="8"/>
      <name val="Calibri"/>
      <family val="2"/>
    </font>
    <font>
      <sz val="10"/>
      <color indexed="8"/>
      <name val="Calibri"/>
      <family val="2"/>
    </font>
    <font>
      <sz val="10"/>
      <name val="Calibri"/>
      <family val="2"/>
    </font>
    <font>
      <sz val="8"/>
      <color indexed="8"/>
      <name val="Calibri"/>
      <family val="2"/>
    </font>
    <font>
      <b/>
      <sz val="12"/>
      <color indexed="8"/>
      <name val="Calibri"/>
      <family val="2"/>
    </font>
    <font>
      <b/>
      <sz val="10"/>
      <name val="Calibri"/>
      <family val="2"/>
    </font>
    <font>
      <b/>
      <sz val="9"/>
      <name val="Calibri"/>
      <family val="2"/>
    </font>
    <font>
      <sz val="9"/>
      <name val="Calibri"/>
      <family val="2"/>
    </font>
    <font>
      <sz val="8"/>
      <name val="Calibri"/>
      <family val="2"/>
    </font>
    <font>
      <b/>
      <sz val="11"/>
      <color indexed="8"/>
      <name val="Calibri"/>
      <family val="2"/>
    </font>
    <font>
      <b/>
      <sz val="8"/>
      <name val="Calibri"/>
      <family val="2"/>
    </font>
    <font>
      <sz val="8"/>
      <color indexed="8"/>
      <name val="Calibri"/>
      <family val="2"/>
      <scheme val="minor"/>
    </font>
    <font>
      <b/>
      <sz val="10"/>
      <name val="Arial"/>
      <family val="2"/>
    </font>
    <font>
      <sz val="12"/>
      <name val="Calibri"/>
      <family val="2"/>
    </font>
    <font>
      <b/>
      <sz val="12"/>
      <name val="Calibri"/>
      <family val="2"/>
    </font>
    <font>
      <b/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name val="Arial"/>
      <family val="2"/>
    </font>
    <font>
      <sz val="9"/>
      <color indexed="8"/>
      <name val="Calibri"/>
      <family val="2"/>
    </font>
    <font>
      <sz val="7"/>
      <color indexed="8"/>
      <name val="Tahoma"/>
      <family val="2"/>
    </font>
    <font>
      <b/>
      <sz val="9"/>
      <color indexed="8"/>
      <name val="Calibri"/>
      <family val="2"/>
    </font>
    <font>
      <sz val="11"/>
      <name val="Calibri"/>
      <family val="2"/>
    </font>
    <font>
      <sz val="8"/>
      <color indexed="10"/>
      <name val="Calibri"/>
      <family val="2"/>
    </font>
    <font>
      <b/>
      <sz val="8"/>
      <color indexed="8"/>
      <name val="Calibri"/>
      <family val="2"/>
    </font>
    <font>
      <sz val="6"/>
      <name val="Calibri"/>
      <family val="2"/>
    </font>
    <font>
      <i/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10"/>
      <name val="Calibri"/>
      <family val="2"/>
    </font>
    <font>
      <b/>
      <sz val="11"/>
      <color indexed="30"/>
      <name val="Calibri"/>
      <family val="2"/>
    </font>
    <font>
      <sz val="11"/>
      <color indexed="30"/>
      <name val="Calibri"/>
      <family val="2"/>
    </font>
    <font>
      <b/>
      <sz val="11"/>
      <color indexed="9"/>
      <name val="Calibri"/>
      <family val="2"/>
    </font>
    <font>
      <sz val="9"/>
      <color indexed="8"/>
      <name val="Calibri"/>
      <family val="2"/>
      <scheme val="minor"/>
    </font>
    <font>
      <b/>
      <sz val="16"/>
      <name val="Calibri"/>
      <family val="2"/>
    </font>
    <font>
      <sz val="12"/>
      <color indexed="8"/>
      <name val="Arial Narrow"/>
      <family val="2"/>
    </font>
    <font>
      <sz val="11"/>
      <color indexed="8"/>
      <name val="Arial Narrow"/>
      <family val="2"/>
    </font>
    <font>
      <sz val="12"/>
      <name val="Arial Narrow"/>
      <family val="2"/>
    </font>
    <font>
      <sz val="13"/>
      <color indexed="8"/>
      <name val="Arial Narrow"/>
      <family val="2"/>
    </font>
    <font>
      <b/>
      <sz val="13"/>
      <color indexed="8"/>
      <name val="Arial Narrow"/>
      <family val="2"/>
    </font>
    <font>
      <sz val="13"/>
      <color indexed="10"/>
      <name val="Arial Narrow"/>
      <family val="2"/>
    </font>
    <font>
      <b/>
      <i/>
      <sz val="13"/>
      <color indexed="8"/>
      <name val="Arial Narrow"/>
      <family val="2"/>
    </font>
    <font>
      <sz val="16"/>
      <name val="Calibri"/>
      <family val="2"/>
    </font>
    <font>
      <b/>
      <sz val="12"/>
      <color indexed="8"/>
      <name val="Arial Narrow"/>
      <family val="2"/>
    </font>
    <font>
      <sz val="12"/>
      <color indexed="21"/>
      <name val="Arial Narrow"/>
      <family val="2"/>
    </font>
    <font>
      <sz val="12"/>
      <color indexed="10"/>
      <name val="Calibri"/>
      <family val="2"/>
    </font>
    <font>
      <sz val="10"/>
      <color indexed="8"/>
      <name val="Arial Narrow"/>
      <family val="2"/>
    </font>
    <font>
      <sz val="12"/>
      <color indexed="10"/>
      <name val="Arial Narrow"/>
      <family val="2"/>
    </font>
    <font>
      <i/>
      <sz val="11"/>
      <color indexed="21"/>
      <name val="Arial Narrow"/>
      <family val="2"/>
    </font>
    <font>
      <i/>
      <sz val="12"/>
      <name val="Arial Narrow"/>
      <family val="2"/>
    </font>
    <font>
      <i/>
      <sz val="13"/>
      <color indexed="8"/>
      <name val="Arial Narrow"/>
      <family val="2"/>
    </font>
    <font>
      <sz val="10"/>
      <name val="Arial Narrow"/>
      <family val="2"/>
    </font>
    <font>
      <sz val="12"/>
      <color indexed="9"/>
      <name val="Arial Narrow"/>
      <family val="2"/>
    </font>
    <font>
      <b/>
      <sz val="7"/>
      <name val="Arial"/>
      <family val="2"/>
    </font>
    <font>
      <sz val="7"/>
      <name val="Arial"/>
      <family val="2"/>
    </font>
    <font>
      <b/>
      <sz val="8"/>
      <color indexed="8"/>
      <name val="Calibri"/>
      <family val="2"/>
      <scheme val="minor"/>
    </font>
    <font>
      <sz val="8"/>
      <color indexed="8"/>
      <name val="Arial"/>
      <family val="2"/>
    </font>
    <font>
      <b/>
      <sz val="8"/>
      <color indexed="8"/>
      <name val="Tahoma"/>
      <family val="2"/>
    </font>
    <font>
      <b/>
      <sz val="9"/>
      <color indexed="8"/>
      <name val="Arial"/>
      <family val="2"/>
    </font>
    <font>
      <sz val="8"/>
      <color indexed="8"/>
      <name val="Tahoma"/>
      <family val="2"/>
    </font>
    <font>
      <sz val="9"/>
      <color indexed="8"/>
      <name val="Arial"/>
      <family val="2"/>
    </font>
    <font>
      <b/>
      <sz val="9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b/>
      <i/>
      <sz val="10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b/>
      <sz val="9"/>
      <color theme="1"/>
      <name val="Calibri"/>
      <family val="2"/>
      <scheme val="minor"/>
    </font>
    <font>
      <sz val="10"/>
      <name val="Tahoma"/>
      <family val="2"/>
    </font>
    <font>
      <i/>
      <sz val="10"/>
      <name val="Tahoma"/>
      <family val="2"/>
    </font>
    <font>
      <b/>
      <sz val="10"/>
      <color theme="1"/>
      <name val="Arial"/>
      <family val="2"/>
    </font>
    <font>
      <i/>
      <sz val="10"/>
      <color rgb="FFFF0000"/>
      <name val="Tahoma"/>
      <family val="2"/>
    </font>
    <font>
      <sz val="11"/>
      <name val="Arial"/>
      <family val="2"/>
    </font>
    <font>
      <b/>
      <i/>
      <sz val="9"/>
      <name val="Arial"/>
      <family val="2"/>
    </font>
    <font>
      <sz val="8"/>
      <color rgb="FF00B050"/>
      <name val="Arial"/>
      <family val="2"/>
    </font>
    <font>
      <sz val="8"/>
      <color rgb="FFFF0000"/>
      <name val="Arial"/>
      <family val="2"/>
    </font>
    <font>
      <i/>
      <sz val="10"/>
      <name val="Arial"/>
      <family val="2"/>
    </font>
    <font>
      <i/>
      <sz val="10"/>
      <color rgb="FFFF0000"/>
      <name val="Arial"/>
      <family val="2"/>
    </font>
    <font>
      <sz val="10"/>
      <color rgb="FFFF0000"/>
      <name val="Arial"/>
      <family val="2"/>
    </font>
    <font>
      <sz val="11"/>
      <color indexed="8"/>
      <name val="Tahoma"/>
      <family val="2"/>
    </font>
    <font>
      <sz val="10"/>
      <name val="Verdana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i/>
      <sz val="12"/>
      <color indexed="8"/>
      <name val="Arial Narrow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Calibri"/>
      <family val="2"/>
      <scheme val="minor"/>
    </font>
    <font>
      <sz val="8"/>
      <color indexed="8"/>
      <name val="Calibri"/>
      <family val="2"/>
      <scheme val="minor"/>
    </font>
    <font>
      <b/>
      <sz val="8"/>
      <color indexed="8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name val="Arial"/>
      <family val="2"/>
    </font>
    <font>
      <b/>
      <sz val="10"/>
      <name val="Calibri"/>
      <family val="2"/>
    </font>
    <font>
      <sz val="8"/>
      <name val="Calibri"/>
      <family val="2"/>
    </font>
    <font>
      <b/>
      <sz val="8"/>
      <name val="Calibri"/>
      <family val="2"/>
    </font>
    <font>
      <sz val="8"/>
      <name val="Arial"/>
      <family val="2"/>
    </font>
    <font>
      <sz val="11"/>
      <color indexed="8"/>
      <name val="Tahoma"/>
      <family val="2"/>
    </font>
    <font>
      <b/>
      <sz val="8"/>
      <name val="Arial"/>
      <family val="2"/>
    </font>
    <font>
      <b/>
      <sz val="8"/>
      <color indexed="8"/>
      <name val="Calibri"/>
      <family val="2"/>
    </font>
    <font>
      <sz val="8"/>
      <color indexed="8"/>
      <name val="Calibri"/>
      <family val="2"/>
    </font>
    <font>
      <b/>
      <sz val="8"/>
      <color theme="1"/>
      <name val="Calibri"/>
      <family val="2"/>
      <scheme val="minor"/>
    </font>
    <font>
      <b/>
      <sz val="8"/>
      <name val="Calibri"/>
      <family val="2"/>
      <charset val="1"/>
    </font>
    <font>
      <sz val="8"/>
      <name val="Calibri"/>
      <family val="2"/>
      <charset val="1"/>
    </font>
    <font>
      <b/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2"/>
      <name val="Calibri"/>
      <family val="2"/>
    </font>
    <font>
      <sz val="10"/>
      <name val="Calibri"/>
      <family val="2"/>
    </font>
    <font>
      <b/>
      <sz val="11"/>
      <name val="Calibri"/>
      <family val="2"/>
    </font>
    <font>
      <b/>
      <sz val="11"/>
      <color rgb="FFFF0000"/>
      <name val="Calibri"/>
      <family val="2"/>
    </font>
    <font>
      <sz val="11"/>
      <name val="Calibri"/>
      <family val="2"/>
    </font>
    <font>
      <b/>
      <sz val="11"/>
      <color indexed="8"/>
      <name val="Calibri"/>
      <family val="2"/>
    </font>
    <font>
      <b/>
      <sz val="12"/>
      <color indexed="8"/>
      <name val="Calibri"/>
      <family val="2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b/>
      <sz val="9"/>
      <name val="Calibri"/>
      <family val="2"/>
    </font>
    <font>
      <sz val="9"/>
      <name val="Calibri"/>
      <family val="2"/>
    </font>
    <font>
      <sz val="9"/>
      <color theme="1"/>
      <name val="Calibri"/>
      <family val="2"/>
    </font>
    <font>
      <sz val="9"/>
      <color indexed="8"/>
      <name val="Calibri"/>
      <family val="2"/>
      <scheme val="minor"/>
    </font>
    <font>
      <sz val="9"/>
      <name val="Calibri"/>
      <family val="2"/>
      <scheme val="minor"/>
    </font>
    <font>
      <sz val="10"/>
      <name val="Verdana"/>
      <family val="2"/>
    </font>
    <font>
      <sz val="9"/>
      <color indexed="8"/>
      <name val="Tahoma"/>
      <family val="2"/>
    </font>
    <font>
      <b/>
      <sz val="9"/>
      <name val="Tahoma"/>
      <family val="2"/>
    </font>
    <font>
      <sz val="9"/>
      <name val="Tahoma"/>
      <family val="2"/>
    </font>
    <font>
      <sz val="10"/>
      <color indexed="10"/>
      <name val="Arial"/>
      <family val="2"/>
    </font>
    <font>
      <b/>
      <sz val="9"/>
      <color indexed="8"/>
      <name val="Tahoma"/>
      <family val="2"/>
    </font>
    <font>
      <b/>
      <sz val="11"/>
      <color theme="1"/>
      <name val="Calibri"/>
      <family val="2"/>
      <scheme val="minor"/>
    </font>
    <font>
      <sz val="7"/>
      <color rgb="FF000000"/>
      <name val="Tahoma"/>
      <family val="2"/>
    </font>
  </fonts>
  <fills count="19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6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auto="1"/>
      </top>
      <bottom style="medium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medium">
        <color auto="1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medium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 style="thin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double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double">
        <color auto="1"/>
      </bottom>
      <diagonal/>
    </border>
    <border>
      <left style="medium">
        <color auto="1"/>
      </left>
      <right/>
      <top/>
      <bottom style="double">
        <color auto="1"/>
      </bottom>
      <diagonal/>
    </border>
    <border>
      <left style="medium">
        <color auto="1"/>
      </left>
      <right style="medium">
        <color auto="1"/>
      </right>
      <top style="double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double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double">
        <color auto="1"/>
      </top>
      <bottom style="hair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hair">
        <color auto="1"/>
      </bottom>
      <diagonal/>
    </border>
    <border>
      <left style="double">
        <color auto="1"/>
      </left>
      <right style="double">
        <color auto="1"/>
      </right>
      <top/>
      <bottom style="hair">
        <color auto="1"/>
      </bottom>
      <diagonal/>
    </border>
    <border>
      <left style="double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</borders>
  <cellStyleXfs count="1922">
    <xf numFmtId="0" fontId="0" fillId="0" borderId="0"/>
    <xf numFmtId="171" fontId="92" fillId="0" borderId="0" applyFont="0" applyFill="0" applyBorder="0" applyAlignment="0" applyProtection="0"/>
    <xf numFmtId="171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41" fontId="88" fillId="0" borderId="0" applyFont="0" applyFill="0" applyBorder="0" applyAlignment="0" applyProtection="0"/>
    <xf numFmtId="41" fontId="88" fillId="0" borderId="0" applyFont="0" applyFill="0" applyBorder="0" applyAlignment="0" applyProtection="0"/>
    <xf numFmtId="41" fontId="92" fillId="0" borderId="0" applyFont="0" applyFill="0" applyBorder="0" applyAlignment="0" applyProtection="0"/>
    <xf numFmtId="171" fontId="92" fillId="0" borderId="0" applyFont="0" applyFill="0" applyBorder="0" applyAlignment="0" applyProtection="0"/>
    <xf numFmtId="171" fontId="92" fillId="0" borderId="0" applyFont="0" applyFill="0" applyBorder="0" applyAlignment="0" applyProtection="0"/>
    <xf numFmtId="41" fontId="92" fillId="0" borderId="0" applyFont="0" applyFill="0" applyBorder="0" applyAlignment="0" applyProtection="0"/>
    <xf numFmtId="41" fontId="92" fillId="0" borderId="0" applyFont="0" applyFill="0" applyBorder="0" applyAlignment="0" applyProtection="0"/>
    <xf numFmtId="174" fontId="36" fillId="0" borderId="0" applyFont="0" applyFill="0" applyBorder="0" applyAlignment="0" applyProtection="0"/>
    <xf numFmtId="0" fontId="92" fillId="0" borderId="0"/>
    <xf numFmtId="0" fontId="92" fillId="0" borderId="0"/>
    <xf numFmtId="171" fontId="92" fillId="0" borderId="0" applyFont="0" applyFill="0" applyBorder="0" applyAlignment="0" applyProtection="0"/>
    <xf numFmtId="171" fontId="92" fillId="0" borderId="0" applyFont="0" applyFill="0" applyBorder="0" applyAlignment="0" applyProtection="0"/>
    <xf numFmtId="0" fontId="88" fillId="0" borderId="0"/>
    <xf numFmtId="171" fontId="92" fillId="0" borderId="0" applyFont="0" applyFill="0" applyBorder="0" applyAlignment="0" applyProtection="0"/>
    <xf numFmtId="0" fontId="92" fillId="0" borderId="0"/>
    <xf numFmtId="0" fontId="92" fillId="0" borderId="0"/>
    <xf numFmtId="43" fontId="36" fillId="0" borderId="0" applyFont="0" applyFill="0" applyBorder="0" applyAlignment="0" applyProtection="0"/>
    <xf numFmtId="174" fontId="36" fillId="0" borderId="0" applyFont="0" applyFill="0" applyBorder="0" applyAlignment="0" applyProtection="0"/>
    <xf numFmtId="174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92" fillId="0" borderId="0"/>
    <xf numFmtId="0" fontId="92" fillId="0" borderId="0"/>
    <xf numFmtId="171" fontId="92" fillId="0" borderId="0" applyFont="0" applyFill="0" applyBorder="0" applyAlignment="0" applyProtection="0"/>
    <xf numFmtId="171" fontId="92" fillId="0" borderId="0" applyFont="0" applyFill="0" applyBorder="0" applyAlignment="0" applyProtection="0"/>
    <xf numFmtId="171" fontId="92" fillId="0" borderId="0" applyFont="0" applyFill="0" applyBorder="0" applyAlignment="0" applyProtection="0"/>
    <xf numFmtId="171" fontId="92" fillId="0" borderId="0" applyFont="0" applyFill="0" applyBorder="0" applyAlignment="0" applyProtection="0"/>
    <xf numFmtId="41" fontId="36" fillId="0" borderId="0" applyFont="0" applyFill="0" applyBorder="0" applyAlignment="0" applyProtection="0"/>
    <xf numFmtId="0" fontId="92" fillId="0" borderId="0"/>
    <xf numFmtId="0" fontId="92" fillId="0" borderId="0"/>
    <xf numFmtId="0" fontId="87" fillId="0" borderId="0"/>
    <xf numFmtId="43" fontId="92" fillId="0" borderId="0" applyFont="0" applyFill="0" applyBorder="0" applyAlignment="0" applyProtection="0"/>
    <xf numFmtId="169" fontId="8" fillId="0" borderId="0" applyFont="0" applyFill="0" applyBorder="0" applyAlignment="0" applyProtection="0"/>
    <xf numFmtId="171" fontId="92" fillId="0" borderId="0" applyFont="0" applyFill="0" applyBorder="0" applyAlignment="0" applyProtection="0"/>
    <xf numFmtId="171" fontId="92" fillId="0" borderId="0" applyFont="0" applyFill="0" applyBorder="0" applyAlignment="0" applyProtection="0"/>
    <xf numFmtId="0" fontId="92" fillId="0" borderId="0"/>
    <xf numFmtId="41" fontId="92" fillId="0" borderId="0" applyFont="0" applyFill="0" applyBorder="0" applyAlignment="0" applyProtection="0"/>
    <xf numFmtId="41" fontId="88" fillId="0" borderId="0" applyFont="0" applyFill="0" applyBorder="0" applyAlignment="0" applyProtection="0"/>
    <xf numFmtId="41" fontId="88" fillId="0" borderId="0" applyFont="0" applyFill="0" applyBorder="0" applyAlignment="0" applyProtection="0"/>
    <xf numFmtId="171" fontId="92" fillId="0" borderId="0" applyFont="0" applyFill="0" applyBorder="0" applyAlignment="0" applyProtection="0"/>
    <xf numFmtId="171" fontId="92" fillId="0" borderId="0" applyFont="0" applyFill="0" applyBorder="0" applyAlignment="0" applyProtection="0"/>
    <xf numFmtId="0" fontId="92" fillId="0" borderId="0"/>
    <xf numFmtId="0" fontId="92" fillId="0" borderId="0"/>
    <xf numFmtId="167" fontId="36" fillId="0" borderId="0" applyFont="0" applyFill="0" applyBorder="0" applyAlignment="0" applyProtection="0"/>
    <xf numFmtId="0" fontId="92" fillId="0" borderId="0"/>
    <xf numFmtId="0" fontId="92" fillId="0" borderId="0"/>
    <xf numFmtId="171" fontId="92" fillId="0" borderId="0" applyFont="0" applyFill="0" applyBorder="0" applyAlignment="0" applyProtection="0"/>
    <xf numFmtId="171" fontId="92" fillId="0" borderId="0" applyFont="0" applyFill="0" applyBorder="0" applyAlignment="0" applyProtection="0"/>
    <xf numFmtId="171" fontId="92" fillId="0" borderId="0" applyFont="0" applyFill="0" applyBorder="0" applyAlignment="0" applyProtection="0"/>
    <xf numFmtId="171" fontId="92" fillId="0" borderId="0" applyFont="0" applyFill="0" applyBorder="0" applyAlignment="0" applyProtection="0"/>
    <xf numFmtId="0" fontId="92" fillId="0" borderId="0"/>
    <xf numFmtId="0" fontId="92" fillId="0" borderId="0"/>
    <xf numFmtId="169" fontId="36" fillId="0" borderId="0" applyFont="0" applyFill="0" applyBorder="0" applyAlignment="0" applyProtection="0"/>
    <xf numFmtId="0" fontId="92" fillId="0" borderId="0"/>
    <xf numFmtId="0" fontId="92" fillId="0" borderId="0"/>
    <xf numFmtId="0" fontId="92" fillId="0" borderId="0"/>
    <xf numFmtId="0" fontId="92" fillId="0" borderId="0"/>
    <xf numFmtId="171" fontId="92" fillId="0" borderId="0" applyFont="0" applyFill="0" applyBorder="0" applyAlignment="0" applyProtection="0"/>
    <xf numFmtId="171" fontId="92" fillId="0" borderId="0" applyFont="0" applyFill="0" applyBorder="0" applyAlignment="0" applyProtection="0"/>
    <xf numFmtId="171" fontId="92" fillId="0" borderId="0" applyFont="0" applyFill="0" applyBorder="0" applyAlignment="0" applyProtection="0"/>
    <xf numFmtId="0" fontId="92" fillId="0" borderId="0"/>
    <xf numFmtId="0" fontId="92" fillId="0" borderId="0"/>
    <xf numFmtId="169" fontId="2" fillId="0" borderId="0" applyFont="0" applyFill="0" applyBorder="0" applyAlignment="0" applyProtection="0"/>
    <xf numFmtId="0" fontId="92" fillId="0" borderId="0"/>
    <xf numFmtId="0" fontId="92" fillId="0" borderId="0"/>
    <xf numFmtId="0" fontId="92" fillId="0" borderId="0"/>
    <xf numFmtId="0" fontId="92" fillId="0" borderId="0"/>
    <xf numFmtId="43" fontId="36" fillId="0" borderId="0" applyFont="0" applyFill="0" applyBorder="0" applyAlignment="0" applyProtection="0"/>
    <xf numFmtId="171" fontId="92" fillId="0" borderId="0" applyFont="0" applyFill="0" applyBorder="0" applyAlignment="0" applyProtection="0"/>
    <xf numFmtId="171" fontId="92" fillId="0" borderId="0" applyFont="0" applyFill="0" applyBorder="0" applyAlignment="0" applyProtection="0"/>
    <xf numFmtId="171" fontId="92" fillId="0" borderId="0" applyFont="0" applyFill="0" applyBorder="0" applyAlignment="0" applyProtection="0"/>
    <xf numFmtId="0" fontId="92" fillId="0" borderId="0"/>
    <xf numFmtId="0" fontId="92" fillId="0" borderId="0"/>
    <xf numFmtId="43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41" fontId="92" fillId="0" borderId="0" applyFont="0" applyFill="0" applyBorder="0" applyAlignment="0" applyProtection="0"/>
    <xf numFmtId="43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41" fontId="88" fillId="0" borderId="0" applyFont="0" applyFill="0" applyBorder="0" applyAlignment="0" applyProtection="0"/>
    <xf numFmtId="41" fontId="88" fillId="0" borderId="0" applyFont="0" applyFill="0" applyBorder="0" applyAlignment="0" applyProtection="0"/>
    <xf numFmtId="0" fontId="92" fillId="0" borderId="0"/>
    <xf numFmtId="41" fontId="92" fillId="0" borderId="0" applyFont="0" applyFill="0" applyBorder="0" applyAlignment="0" applyProtection="0"/>
    <xf numFmtId="41" fontId="92" fillId="0" borderId="0" applyFont="0" applyFill="0" applyBorder="0" applyAlignment="0" applyProtection="0"/>
    <xf numFmtId="41" fontId="92" fillId="0" borderId="0" applyFont="0" applyFill="0" applyBorder="0" applyAlignment="0" applyProtection="0"/>
    <xf numFmtId="41" fontId="92" fillId="0" borderId="0" applyFont="0" applyFill="0" applyBorder="0" applyAlignment="0" applyProtection="0"/>
    <xf numFmtId="41" fontId="92" fillId="0" borderId="0" applyFont="0" applyFill="0" applyBorder="0" applyAlignment="0" applyProtection="0"/>
    <xf numFmtId="41" fontId="92" fillId="0" borderId="0" applyFont="0" applyFill="0" applyBorder="0" applyAlignment="0" applyProtection="0"/>
    <xf numFmtId="41" fontId="92" fillId="0" borderId="0" applyFont="0" applyFill="0" applyBorder="0" applyAlignment="0" applyProtection="0"/>
    <xf numFmtId="41" fontId="92" fillId="0" borderId="0" applyFont="0" applyFill="0" applyBorder="0" applyAlignment="0" applyProtection="0"/>
    <xf numFmtId="41" fontId="92" fillId="0" borderId="0" applyFont="0" applyFill="0" applyBorder="0" applyAlignment="0" applyProtection="0"/>
    <xf numFmtId="41" fontId="92" fillId="0" borderId="0" applyFont="0" applyFill="0" applyBorder="0" applyAlignment="0" applyProtection="0"/>
    <xf numFmtId="41" fontId="92" fillId="0" borderId="0" applyFont="0" applyFill="0" applyBorder="0" applyAlignment="0" applyProtection="0"/>
    <xf numFmtId="41" fontId="92" fillId="0" borderId="0" applyFont="0" applyFill="0" applyBorder="0" applyAlignment="0" applyProtection="0"/>
    <xf numFmtId="41" fontId="92" fillId="0" borderId="0" applyFont="0" applyFill="0" applyBorder="0" applyAlignment="0" applyProtection="0"/>
    <xf numFmtId="41" fontId="88" fillId="0" borderId="0" applyFont="0" applyFill="0" applyBorder="0" applyAlignment="0" applyProtection="0"/>
    <xf numFmtId="41" fontId="88" fillId="0" borderId="0" applyFont="0" applyFill="0" applyBorder="0" applyAlignment="0" applyProtection="0"/>
    <xf numFmtId="41" fontId="92" fillId="0" borderId="0" applyFont="0" applyFill="0" applyBorder="0" applyAlignment="0" applyProtection="0"/>
    <xf numFmtId="41" fontId="92" fillId="0" borderId="0" applyFont="0" applyFill="0" applyBorder="0" applyAlignment="0" applyProtection="0"/>
    <xf numFmtId="41" fontId="92" fillId="0" borderId="0" applyFont="0" applyFill="0" applyBorder="0" applyAlignment="0" applyProtection="0"/>
    <xf numFmtId="41" fontId="92" fillId="0" borderId="0" applyFont="0" applyFill="0" applyBorder="0" applyAlignment="0" applyProtection="0"/>
    <xf numFmtId="41" fontId="92" fillId="0" borderId="0" applyFont="0" applyFill="0" applyBorder="0" applyAlignment="0" applyProtection="0"/>
    <xf numFmtId="41" fontId="92" fillId="0" borderId="0" applyFont="0" applyFill="0" applyBorder="0" applyAlignment="0" applyProtection="0"/>
    <xf numFmtId="41" fontId="92" fillId="0" borderId="0" applyFont="0" applyFill="0" applyBorder="0" applyAlignment="0" applyProtection="0"/>
    <xf numFmtId="41" fontId="92" fillId="0" borderId="0" applyFont="0" applyFill="0" applyBorder="0" applyAlignment="0" applyProtection="0"/>
    <xf numFmtId="41" fontId="92" fillId="0" borderId="0" applyFont="0" applyFill="0" applyBorder="0" applyAlignment="0" applyProtection="0"/>
    <xf numFmtId="41" fontId="92" fillId="0" borderId="0" applyFont="0" applyFill="0" applyBorder="0" applyAlignment="0" applyProtection="0"/>
    <xf numFmtId="41" fontId="92" fillId="0" borderId="0" applyFont="0" applyFill="0" applyBorder="0" applyAlignment="0" applyProtection="0"/>
    <xf numFmtId="41" fontId="88" fillId="0" borderId="0" applyFont="0" applyFill="0" applyBorder="0" applyAlignment="0" applyProtection="0"/>
    <xf numFmtId="41" fontId="88" fillId="0" borderId="0" applyFont="0" applyFill="0" applyBorder="0" applyAlignment="0" applyProtection="0"/>
    <xf numFmtId="41" fontId="92" fillId="0" borderId="0" applyFont="0" applyFill="0" applyBorder="0" applyAlignment="0" applyProtection="0"/>
    <xf numFmtId="41" fontId="92" fillId="0" borderId="0" applyFont="0" applyFill="0" applyBorder="0" applyAlignment="0" applyProtection="0"/>
    <xf numFmtId="41" fontId="92" fillId="0" borderId="0" applyFont="0" applyFill="0" applyBorder="0" applyAlignment="0" applyProtection="0"/>
    <xf numFmtId="41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41" fontId="92" fillId="0" borderId="0" applyFont="0" applyFill="0" applyBorder="0" applyAlignment="0" applyProtection="0"/>
    <xf numFmtId="41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41" fontId="92" fillId="0" borderId="0" applyFont="0" applyFill="0" applyBorder="0" applyAlignment="0" applyProtection="0"/>
    <xf numFmtId="41" fontId="92" fillId="0" borderId="0" applyFont="0" applyFill="0" applyBorder="0" applyAlignment="0" applyProtection="0"/>
    <xf numFmtId="41" fontId="88" fillId="0" borderId="0" applyFont="0" applyFill="0" applyBorder="0" applyAlignment="0" applyProtection="0"/>
    <xf numFmtId="41" fontId="88" fillId="0" borderId="0" applyFont="0" applyFill="0" applyBorder="0" applyAlignment="0" applyProtection="0"/>
    <xf numFmtId="41" fontId="92" fillId="0" borderId="0" applyFont="0" applyFill="0" applyBorder="0" applyAlignment="0" applyProtection="0"/>
    <xf numFmtId="41" fontId="88" fillId="0" borderId="0" applyFont="0" applyFill="0" applyBorder="0" applyAlignment="0" applyProtection="0"/>
    <xf numFmtId="41" fontId="88" fillId="0" borderId="0" applyFont="0" applyFill="0" applyBorder="0" applyAlignment="0" applyProtection="0"/>
    <xf numFmtId="41" fontId="88" fillId="0" borderId="0" applyFont="0" applyFill="0" applyBorder="0" applyAlignment="0" applyProtection="0"/>
    <xf numFmtId="41" fontId="92" fillId="0" borderId="0" applyFont="0" applyFill="0" applyBorder="0" applyAlignment="0" applyProtection="0"/>
    <xf numFmtId="41" fontId="88" fillId="0" borderId="0" applyFont="0" applyFill="0" applyBorder="0" applyAlignment="0" applyProtection="0"/>
    <xf numFmtId="41" fontId="88" fillId="0" borderId="0" applyFont="0" applyFill="0" applyBorder="0" applyAlignment="0" applyProtection="0"/>
    <xf numFmtId="41" fontId="92" fillId="0" borderId="0" applyFont="0" applyFill="0" applyBorder="0" applyAlignment="0" applyProtection="0"/>
    <xf numFmtId="41" fontId="88" fillId="0" borderId="0" applyFont="0" applyFill="0" applyBorder="0" applyAlignment="0" applyProtection="0"/>
    <xf numFmtId="41" fontId="88" fillId="0" borderId="0" applyFont="0" applyFill="0" applyBorder="0" applyAlignment="0" applyProtection="0"/>
    <xf numFmtId="41" fontId="92" fillId="0" borderId="0" applyFont="0" applyFill="0" applyBorder="0" applyAlignment="0" applyProtection="0"/>
    <xf numFmtId="41" fontId="88" fillId="0" borderId="0" applyFont="0" applyFill="0" applyBorder="0" applyAlignment="0" applyProtection="0"/>
    <xf numFmtId="41" fontId="88" fillId="0" borderId="0" applyFont="0" applyFill="0" applyBorder="0" applyAlignment="0" applyProtection="0"/>
    <xf numFmtId="41" fontId="88" fillId="0" borderId="0" applyFont="0" applyFill="0" applyBorder="0" applyAlignment="0" applyProtection="0"/>
    <xf numFmtId="41" fontId="92" fillId="0" borderId="0" applyFont="0" applyFill="0" applyBorder="0" applyAlignment="0" applyProtection="0"/>
    <xf numFmtId="41" fontId="88" fillId="0" borderId="0" applyFont="0" applyFill="0" applyBorder="0" applyAlignment="0" applyProtection="0"/>
    <xf numFmtId="41" fontId="88" fillId="0" borderId="0" applyFont="0" applyFill="0" applyBorder="0" applyAlignment="0" applyProtection="0"/>
    <xf numFmtId="0" fontId="92" fillId="0" borderId="0"/>
    <xf numFmtId="41" fontId="36" fillId="0" borderId="0" applyFont="0" applyFill="0" applyBorder="0" applyAlignment="0" applyProtection="0"/>
    <xf numFmtId="41" fontId="88" fillId="0" borderId="0" applyFont="0" applyFill="0" applyBorder="0" applyAlignment="0" applyProtection="0"/>
    <xf numFmtId="0" fontId="36" fillId="0" borderId="0"/>
    <xf numFmtId="41" fontId="88" fillId="0" borderId="0" applyFont="0" applyFill="0" applyBorder="0" applyAlignment="0" applyProtection="0"/>
    <xf numFmtId="41" fontId="88" fillId="0" borderId="0" applyFont="0" applyFill="0" applyBorder="0" applyAlignment="0" applyProtection="0"/>
    <xf numFmtId="41" fontId="88" fillId="0" borderId="0" applyFont="0" applyFill="0" applyBorder="0" applyAlignment="0" applyProtection="0"/>
    <xf numFmtId="41" fontId="88" fillId="0" borderId="0" applyFont="0" applyFill="0" applyBorder="0" applyAlignment="0" applyProtection="0"/>
    <xf numFmtId="41" fontId="88" fillId="0" borderId="0" applyFont="0" applyFill="0" applyBorder="0" applyAlignment="0" applyProtection="0"/>
    <xf numFmtId="41" fontId="88" fillId="0" borderId="0" applyFont="0" applyFill="0" applyBorder="0" applyAlignment="0" applyProtection="0"/>
    <xf numFmtId="41" fontId="88" fillId="0" borderId="0" applyFont="0" applyFill="0" applyBorder="0" applyAlignment="0" applyProtection="0"/>
    <xf numFmtId="41" fontId="88" fillId="0" borderId="0" applyFont="0" applyFill="0" applyBorder="0" applyAlignment="0" applyProtection="0"/>
    <xf numFmtId="176" fontId="92" fillId="0" borderId="0" applyFont="0" applyFill="0" applyBorder="0" applyAlignment="0" applyProtection="0"/>
    <xf numFmtId="41" fontId="88" fillId="0" borderId="0" applyFont="0" applyFill="0" applyBorder="0" applyAlignment="0" applyProtection="0"/>
    <xf numFmtId="41" fontId="88" fillId="0" borderId="0" applyFont="0" applyFill="0" applyBorder="0" applyAlignment="0" applyProtection="0"/>
    <xf numFmtId="174" fontId="36" fillId="0" borderId="0" applyFont="0" applyFill="0" applyBorder="0" applyAlignment="0" applyProtection="0"/>
    <xf numFmtId="41" fontId="88" fillId="0" borderId="0" applyFont="0" applyFill="0" applyBorder="0" applyAlignment="0" applyProtection="0"/>
    <xf numFmtId="41" fontId="88" fillId="0" borderId="0" applyFont="0" applyFill="0" applyBorder="0" applyAlignment="0" applyProtection="0"/>
    <xf numFmtId="41" fontId="88" fillId="0" borderId="0" applyFont="0" applyFill="0" applyBorder="0" applyAlignment="0" applyProtection="0"/>
    <xf numFmtId="0" fontId="92" fillId="0" borderId="0"/>
    <xf numFmtId="0" fontId="92" fillId="0" borderId="0"/>
    <xf numFmtId="171" fontId="92" fillId="0" borderId="0" applyFont="0" applyFill="0" applyBorder="0" applyAlignment="0" applyProtection="0"/>
    <xf numFmtId="0" fontId="92" fillId="0" borderId="0"/>
    <xf numFmtId="0" fontId="92" fillId="0" borderId="0"/>
    <xf numFmtId="171" fontId="92" fillId="0" borderId="0" applyFont="0" applyFill="0" applyBorder="0" applyAlignment="0" applyProtection="0"/>
    <xf numFmtId="0" fontId="92" fillId="0" borderId="0"/>
    <xf numFmtId="0" fontId="92" fillId="0" borderId="0"/>
    <xf numFmtId="171" fontId="92" fillId="0" borderId="0" applyFont="0" applyFill="0" applyBorder="0" applyAlignment="0" applyProtection="0"/>
    <xf numFmtId="0" fontId="92" fillId="0" borderId="0"/>
    <xf numFmtId="0" fontId="92" fillId="0" borderId="0"/>
    <xf numFmtId="171" fontId="92" fillId="0" borderId="0" applyFont="0" applyFill="0" applyBorder="0" applyAlignment="0" applyProtection="0"/>
    <xf numFmtId="0" fontId="92" fillId="0" borderId="0"/>
    <xf numFmtId="0" fontId="92" fillId="0" borderId="0"/>
    <xf numFmtId="171" fontId="92" fillId="0" borderId="0" applyFont="0" applyFill="0" applyBorder="0" applyAlignment="0" applyProtection="0"/>
    <xf numFmtId="0" fontId="92" fillId="0" borderId="0"/>
    <xf numFmtId="0" fontId="92" fillId="0" borderId="0"/>
    <xf numFmtId="171" fontId="92" fillId="0" borderId="0" applyFont="0" applyFill="0" applyBorder="0" applyAlignment="0" applyProtection="0"/>
    <xf numFmtId="171" fontId="92" fillId="0" borderId="0" applyFont="0" applyFill="0" applyBorder="0" applyAlignment="0" applyProtection="0"/>
    <xf numFmtId="0" fontId="92" fillId="0" borderId="0"/>
    <xf numFmtId="0" fontId="92" fillId="0" borderId="0"/>
    <xf numFmtId="171" fontId="92" fillId="0" borderId="0" applyFont="0" applyFill="0" applyBorder="0" applyAlignment="0" applyProtection="0"/>
    <xf numFmtId="171" fontId="92" fillId="0" borderId="0" applyFont="0" applyFill="0" applyBorder="0" applyAlignment="0" applyProtection="0"/>
    <xf numFmtId="0" fontId="92" fillId="0" borderId="0"/>
    <xf numFmtId="0" fontId="92" fillId="0" borderId="0"/>
    <xf numFmtId="171" fontId="92" fillId="0" borderId="0" applyFont="0" applyFill="0" applyBorder="0" applyAlignment="0" applyProtection="0"/>
    <xf numFmtId="171" fontId="92" fillId="0" borderId="0" applyFont="0" applyFill="0" applyBorder="0" applyAlignment="0" applyProtection="0"/>
    <xf numFmtId="0" fontId="92" fillId="0" borderId="0"/>
    <xf numFmtId="0" fontId="92" fillId="0" borderId="0"/>
    <xf numFmtId="171" fontId="92" fillId="0" borderId="0" applyFont="0" applyFill="0" applyBorder="0" applyAlignment="0" applyProtection="0"/>
    <xf numFmtId="171" fontId="92" fillId="0" borderId="0" applyFont="0" applyFill="0" applyBorder="0" applyAlignment="0" applyProtection="0"/>
    <xf numFmtId="171" fontId="92" fillId="0" borderId="0" applyFont="0" applyFill="0" applyBorder="0" applyAlignment="0" applyProtection="0"/>
    <xf numFmtId="171" fontId="92" fillId="0" borderId="0" applyFont="0" applyFill="0" applyBorder="0" applyAlignment="0" applyProtection="0"/>
    <xf numFmtId="171" fontId="92" fillId="0" borderId="0" applyFont="0" applyFill="0" applyBorder="0" applyAlignment="0" applyProtection="0"/>
    <xf numFmtId="0" fontId="92" fillId="0" borderId="0"/>
    <xf numFmtId="0" fontId="92" fillId="0" borderId="0"/>
    <xf numFmtId="171" fontId="92" fillId="0" borderId="0" applyFont="0" applyFill="0" applyBorder="0" applyAlignment="0" applyProtection="0"/>
    <xf numFmtId="171" fontId="92" fillId="0" borderId="0" applyFont="0" applyFill="0" applyBorder="0" applyAlignment="0" applyProtection="0"/>
    <xf numFmtId="0" fontId="92" fillId="0" borderId="0"/>
    <xf numFmtId="0" fontId="92" fillId="0" borderId="0"/>
    <xf numFmtId="171" fontId="92" fillId="0" borderId="0" applyFont="0" applyFill="0" applyBorder="0" applyAlignment="0" applyProtection="0"/>
    <xf numFmtId="171" fontId="92" fillId="0" borderId="0" applyFont="0" applyFill="0" applyBorder="0" applyAlignment="0" applyProtection="0"/>
    <xf numFmtId="0" fontId="92" fillId="0" borderId="0"/>
    <xf numFmtId="0" fontId="92" fillId="0" borderId="0"/>
    <xf numFmtId="171" fontId="92" fillId="0" borderId="0" applyFont="0" applyFill="0" applyBorder="0" applyAlignment="0" applyProtection="0"/>
    <xf numFmtId="171" fontId="92" fillId="0" borderId="0" applyFont="0" applyFill="0" applyBorder="0" applyAlignment="0" applyProtection="0"/>
    <xf numFmtId="0" fontId="92" fillId="0" borderId="0"/>
    <xf numFmtId="0" fontId="92" fillId="0" borderId="0"/>
    <xf numFmtId="171" fontId="92" fillId="0" borderId="0" applyFont="0" applyFill="0" applyBorder="0" applyAlignment="0" applyProtection="0"/>
    <xf numFmtId="171" fontId="92" fillId="0" borderId="0" applyFont="0" applyFill="0" applyBorder="0" applyAlignment="0" applyProtection="0"/>
    <xf numFmtId="0" fontId="92" fillId="0" borderId="0"/>
    <xf numFmtId="0" fontId="92" fillId="0" borderId="0"/>
    <xf numFmtId="171" fontId="92" fillId="0" borderId="0" applyFont="0" applyFill="0" applyBorder="0" applyAlignment="0" applyProtection="0"/>
    <xf numFmtId="171" fontId="92" fillId="0" borderId="0" applyFont="0" applyFill="0" applyBorder="0" applyAlignment="0" applyProtection="0"/>
    <xf numFmtId="171" fontId="92" fillId="0" borderId="0" applyFont="0" applyFill="0" applyBorder="0" applyAlignment="0" applyProtection="0"/>
    <xf numFmtId="171" fontId="92" fillId="0" borderId="0" applyFont="0" applyFill="0" applyBorder="0" applyAlignment="0" applyProtection="0"/>
    <xf numFmtId="171" fontId="92" fillId="0" borderId="0" applyFont="0" applyFill="0" applyBorder="0" applyAlignment="0" applyProtection="0"/>
    <xf numFmtId="0" fontId="92" fillId="0" borderId="0"/>
    <xf numFmtId="0" fontId="92" fillId="0" borderId="0"/>
    <xf numFmtId="171" fontId="92" fillId="0" borderId="0" applyFont="0" applyFill="0" applyBorder="0" applyAlignment="0" applyProtection="0"/>
    <xf numFmtId="171" fontId="92" fillId="0" borderId="0" applyFont="0" applyFill="0" applyBorder="0" applyAlignment="0" applyProtection="0"/>
    <xf numFmtId="0" fontId="92" fillId="0" borderId="0"/>
    <xf numFmtId="0" fontId="92" fillId="0" borderId="0"/>
    <xf numFmtId="171" fontId="92" fillId="0" borderId="0" applyFont="0" applyFill="0" applyBorder="0" applyAlignment="0" applyProtection="0"/>
    <xf numFmtId="171" fontId="92" fillId="0" borderId="0" applyFont="0" applyFill="0" applyBorder="0" applyAlignment="0" applyProtection="0"/>
    <xf numFmtId="0" fontId="92" fillId="0" borderId="0"/>
    <xf numFmtId="0" fontId="92" fillId="0" borderId="0"/>
    <xf numFmtId="171" fontId="92" fillId="0" borderId="0" applyFont="0" applyFill="0" applyBorder="0" applyAlignment="0" applyProtection="0"/>
    <xf numFmtId="171" fontId="92" fillId="0" borderId="0" applyFont="0" applyFill="0" applyBorder="0" applyAlignment="0" applyProtection="0"/>
    <xf numFmtId="0" fontId="92" fillId="0" borderId="0"/>
    <xf numFmtId="0" fontId="92" fillId="0" borderId="0"/>
    <xf numFmtId="171" fontId="92" fillId="0" borderId="0" applyFont="0" applyFill="0" applyBorder="0" applyAlignment="0" applyProtection="0"/>
    <xf numFmtId="171" fontId="92" fillId="0" borderId="0" applyFont="0" applyFill="0" applyBorder="0" applyAlignment="0" applyProtection="0"/>
    <xf numFmtId="0" fontId="92" fillId="0" borderId="0"/>
    <xf numFmtId="0" fontId="92" fillId="0" borderId="0"/>
    <xf numFmtId="171" fontId="92" fillId="0" borderId="0" applyFont="0" applyFill="0" applyBorder="0" applyAlignment="0" applyProtection="0"/>
    <xf numFmtId="171" fontId="92" fillId="0" borderId="0" applyFont="0" applyFill="0" applyBorder="0" applyAlignment="0" applyProtection="0"/>
    <xf numFmtId="171" fontId="92" fillId="0" borderId="0" applyFont="0" applyFill="0" applyBorder="0" applyAlignment="0" applyProtection="0"/>
    <xf numFmtId="171" fontId="92" fillId="0" borderId="0" applyFont="0" applyFill="0" applyBorder="0" applyAlignment="0" applyProtection="0"/>
    <xf numFmtId="171" fontId="92" fillId="0" borderId="0" applyFont="0" applyFill="0" applyBorder="0" applyAlignment="0" applyProtection="0"/>
    <xf numFmtId="0" fontId="92" fillId="0" borderId="0"/>
    <xf numFmtId="0" fontId="92" fillId="0" borderId="0"/>
    <xf numFmtId="171" fontId="92" fillId="0" borderId="0" applyFont="0" applyFill="0" applyBorder="0" applyAlignment="0" applyProtection="0"/>
    <xf numFmtId="171" fontId="92" fillId="0" borderId="0" applyFont="0" applyFill="0" applyBorder="0" applyAlignment="0" applyProtection="0"/>
    <xf numFmtId="0" fontId="92" fillId="0" borderId="0"/>
    <xf numFmtId="0" fontId="92" fillId="0" borderId="0"/>
    <xf numFmtId="171" fontId="92" fillId="0" borderId="0" applyFont="0" applyFill="0" applyBorder="0" applyAlignment="0" applyProtection="0"/>
    <xf numFmtId="171" fontId="92" fillId="0" borderId="0" applyFont="0" applyFill="0" applyBorder="0" applyAlignment="0" applyProtection="0"/>
    <xf numFmtId="0" fontId="92" fillId="0" borderId="0"/>
    <xf numFmtId="171" fontId="92" fillId="0" borderId="0" applyFont="0" applyFill="0" applyBorder="0" applyAlignment="0" applyProtection="0"/>
    <xf numFmtId="171" fontId="92" fillId="0" borderId="0" applyFont="0" applyFill="0" applyBorder="0" applyAlignment="0" applyProtection="0"/>
    <xf numFmtId="0" fontId="92" fillId="0" borderId="0"/>
    <xf numFmtId="171" fontId="92" fillId="0" borderId="0" applyFont="0" applyFill="0" applyBorder="0" applyAlignment="0" applyProtection="0"/>
    <xf numFmtId="171" fontId="92" fillId="0" borderId="0" applyFont="0" applyFill="0" applyBorder="0" applyAlignment="0" applyProtection="0"/>
    <xf numFmtId="0" fontId="8" fillId="0" borderId="0"/>
    <xf numFmtId="171" fontId="92" fillId="0" borderId="0" applyFont="0" applyFill="0" applyBorder="0" applyAlignment="0" applyProtection="0"/>
    <xf numFmtId="171" fontId="92" fillId="0" borderId="0" applyFont="0" applyFill="0" applyBorder="0" applyAlignment="0" applyProtection="0"/>
    <xf numFmtId="171" fontId="92" fillId="0" borderId="0" applyFont="0" applyFill="0" applyBorder="0" applyAlignment="0" applyProtection="0"/>
    <xf numFmtId="171" fontId="92" fillId="0" borderId="0" applyFont="0" applyFill="0" applyBorder="0" applyAlignment="0" applyProtection="0"/>
    <xf numFmtId="171" fontId="92" fillId="0" borderId="0" applyFont="0" applyFill="0" applyBorder="0" applyAlignment="0" applyProtection="0"/>
    <xf numFmtId="171" fontId="92" fillId="0" borderId="0" applyFont="0" applyFill="0" applyBorder="0" applyAlignment="0" applyProtection="0"/>
    <xf numFmtId="171" fontId="92" fillId="0" borderId="0" applyFont="0" applyFill="0" applyBorder="0" applyAlignment="0" applyProtection="0"/>
    <xf numFmtId="171" fontId="92" fillId="0" borderId="0" applyFont="0" applyFill="0" applyBorder="0" applyAlignment="0" applyProtection="0"/>
    <xf numFmtId="171" fontId="92" fillId="0" borderId="0" applyFont="0" applyFill="0" applyBorder="0" applyAlignment="0" applyProtection="0"/>
    <xf numFmtId="171" fontId="92" fillId="0" borderId="0" applyFont="0" applyFill="0" applyBorder="0" applyAlignment="0" applyProtection="0"/>
    <xf numFmtId="171" fontId="92" fillId="0" borderId="0" applyFont="0" applyFill="0" applyBorder="0" applyAlignment="0" applyProtection="0"/>
    <xf numFmtId="171" fontId="92" fillId="0" borderId="0" applyFont="0" applyFill="0" applyBorder="0" applyAlignment="0" applyProtection="0"/>
    <xf numFmtId="171" fontId="92" fillId="0" borderId="0" applyFont="0" applyFill="0" applyBorder="0" applyAlignment="0" applyProtection="0"/>
    <xf numFmtId="171" fontId="92" fillId="0" borderId="0" applyFont="0" applyFill="0" applyBorder="0" applyAlignment="0" applyProtection="0"/>
    <xf numFmtId="171" fontId="92" fillId="0" borderId="0" applyFont="0" applyFill="0" applyBorder="0" applyAlignment="0" applyProtection="0"/>
    <xf numFmtId="171" fontId="92" fillId="0" borderId="0" applyFont="0" applyFill="0" applyBorder="0" applyAlignment="0" applyProtection="0"/>
    <xf numFmtId="171" fontId="92" fillId="0" borderId="0" applyFont="0" applyFill="0" applyBorder="0" applyAlignment="0" applyProtection="0"/>
    <xf numFmtId="171" fontId="92" fillId="0" borderId="0" applyFont="0" applyFill="0" applyBorder="0" applyAlignment="0" applyProtection="0"/>
    <xf numFmtId="171" fontId="92" fillId="0" borderId="0" applyFont="0" applyFill="0" applyBorder="0" applyAlignment="0" applyProtection="0"/>
    <xf numFmtId="171" fontId="92" fillId="0" borderId="0" applyFont="0" applyFill="0" applyBorder="0" applyAlignment="0" applyProtection="0"/>
    <xf numFmtId="171" fontId="92" fillId="0" borderId="0" applyFont="0" applyFill="0" applyBorder="0" applyAlignment="0" applyProtection="0"/>
    <xf numFmtId="171" fontId="92" fillId="0" borderId="0" applyFont="0" applyFill="0" applyBorder="0" applyAlignment="0" applyProtection="0"/>
    <xf numFmtId="41" fontId="88" fillId="0" borderId="0" applyFont="0" applyFill="0" applyBorder="0" applyAlignment="0" applyProtection="0"/>
    <xf numFmtId="41" fontId="88" fillId="0" borderId="0" applyFont="0" applyFill="0" applyBorder="0" applyAlignment="0" applyProtection="0"/>
    <xf numFmtId="174" fontId="36" fillId="0" borderId="0" applyFont="0" applyFill="0" applyBorder="0" applyAlignment="0" applyProtection="0"/>
    <xf numFmtId="41" fontId="88" fillId="0" borderId="0" applyFont="0" applyFill="0" applyBorder="0" applyAlignment="0" applyProtection="0"/>
    <xf numFmtId="41" fontId="88" fillId="0" borderId="0" applyFont="0" applyFill="0" applyBorder="0" applyAlignment="0" applyProtection="0"/>
    <xf numFmtId="174" fontId="36" fillId="0" borderId="0" applyFont="0" applyFill="0" applyBorder="0" applyAlignment="0" applyProtection="0"/>
    <xf numFmtId="41" fontId="88" fillId="0" borderId="0" applyFont="0" applyFill="0" applyBorder="0" applyAlignment="0" applyProtection="0"/>
    <xf numFmtId="41" fontId="88" fillId="0" borderId="0" applyFont="0" applyFill="0" applyBorder="0" applyAlignment="0" applyProtection="0"/>
    <xf numFmtId="174" fontId="36" fillId="0" borderId="0" applyFont="0" applyFill="0" applyBorder="0" applyAlignment="0" applyProtection="0"/>
    <xf numFmtId="41" fontId="88" fillId="0" borderId="0" applyFont="0" applyFill="0" applyBorder="0" applyAlignment="0" applyProtection="0"/>
    <xf numFmtId="41" fontId="88" fillId="0" borderId="0" applyFont="0" applyFill="0" applyBorder="0" applyAlignment="0" applyProtection="0"/>
    <xf numFmtId="174" fontId="36" fillId="0" borderId="0" applyFont="0" applyFill="0" applyBorder="0" applyAlignment="0" applyProtection="0"/>
    <xf numFmtId="41" fontId="88" fillId="0" borderId="0" applyFont="0" applyFill="0" applyBorder="0" applyAlignment="0" applyProtection="0"/>
    <xf numFmtId="41" fontId="88" fillId="0" borderId="0" applyFont="0" applyFill="0" applyBorder="0" applyAlignment="0" applyProtection="0"/>
    <xf numFmtId="174" fontId="36" fillId="0" borderId="0" applyFont="0" applyFill="0" applyBorder="0" applyAlignment="0" applyProtection="0"/>
    <xf numFmtId="174" fontId="36" fillId="0" borderId="0" applyFont="0" applyFill="0" applyBorder="0" applyAlignment="0" applyProtection="0"/>
    <xf numFmtId="0" fontId="87" fillId="0" borderId="0"/>
    <xf numFmtId="174" fontId="36" fillId="0" borderId="0" applyFont="0" applyFill="0" applyBorder="0" applyAlignment="0" applyProtection="0"/>
    <xf numFmtId="0" fontId="87" fillId="0" borderId="0"/>
    <xf numFmtId="174" fontId="36" fillId="0" borderId="0" applyFont="0" applyFill="0" applyBorder="0" applyAlignment="0" applyProtection="0"/>
    <xf numFmtId="174" fontId="36" fillId="0" borderId="0" applyFont="0" applyFill="0" applyBorder="0" applyAlignment="0" applyProtection="0"/>
    <xf numFmtId="174" fontId="36" fillId="0" borderId="0" applyFont="0" applyFill="0" applyBorder="0" applyAlignment="0" applyProtection="0"/>
    <xf numFmtId="174" fontId="36" fillId="0" borderId="0" applyFont="0" applyFill="0" applyBorder="0" applyAlignment="0" applyProtection="0"/>
    <xf numFmtId="174" fontId="36" fillId="0" borderId="0" applyFont="0" applyFill="0" applyBorder="0" applyAlignment="0" applyProtection="0"/>
    <xf numFmtId="174" fontId="36" fillId="0" borderId="0" applyFont="0" applyFill="0" applyBorder="0" applyAlignment="0" applyProtection="0"/>
    <xf numFmtId="174" fontId="36" fillId="0" borderId="0" applyFont="0" applyFill="0" applyBorder="0" applyAlignment="0" applyProtection="0"/>
    <xf numFmtId="174" fontId="36" fillId="0" borderId="0" applyFont="0" applyFill="0" applyBorder="0" applyAlignment="0" applyProtection="0"/>
    <xf numFmtId="174" fontId="36" fillId="0" borderId="0" applyFont="0" applyFill="0" applyBorder="0" applyAlignment="0" applyProtection="0"/>
    <xf numFmtId="174" fontId="36" fillId="0" borderId="0" applyFont="0" applyFill="0" applyBorder="0" applyAlignment="0" applyProtection="0"/>
    <xf numFmtId="174" fontId="36" fillId="0" borderId="0" applyFont="0" applyFill="0" applyBorder="0" applyAlignment="0" applyProtection="0"/>
    <xf numFmtId="174" fontId="36" fillId="0" borderId="0" applyFont="0" applyFill="0" applyBorder="0" applyAlignment="0" applyProtection="0"/>
    <xf numFmtId="174" fontId="36" fillId="0" borderId="0" applyFont="0" applyFill="0" applyBorder="0" applyAlignment="0" applyProtection="0"/>
    <xf numFmtId="174" fontId="36" fillId="0" borderId="0" applyFont="0" applyFill="0" applyBorder="0" applyAlignment="0" applyProtection="0"/>
    <xf numFmtId="174" fontId="36" fillId="0" borderId="0" applyFont="0" applyFill="0" applyBorder="0" applyAlignment="0" applyProtection="0"/>
    <xf numFmtId="174" fontId="36" fillId="0" borderId="0" applyFont="0" applyFill="0" applyBorder="0" applyAlignment="0" applyProtection="0"/>
    <xf numFmtId="174" fontId="36" fillId="0" borderId="0" applyFont="0" applyFill="0" applyBorder="0" applyAlignment="0" applyProtection="0"/>
    <xf numFmtId="174" fontId="36" fillId="0" borderId="0" applyFont="0" applyFill="0" applyBorder="0" applyAlignment="0" applyProtection="0"/>
    <xf numFmtId="174" fontId="36" fillId="0" borderId="0" applyFont="0" applyFill="0" applyBorder="0" applyAlignment="0" applyProtection="0"/>
    <xf numFmtId="174" fontId="36" fillId="0" borderId="0" applyFont="0" applyFill="0" applyBorder="0" applyAlignment="0" applyProtection="0"/>
    <xf numFmtId="174" fontId="36" fillId="0" borderId="0" applyFont="0" applyFill="0" applyBorder="0" applyAlignment="0" applyProtection="0"/>
    <xf numFmtId="174" fontId="36" fillId="0" borderId="0" applyFont="0" applyFill="0" applyBorder="0" applyAlignment="0" applyProtection="0"/>
    <xf numFmtId="174" fontId="36" fillId="0" borderId="0" applyFont="0" applyFill="0" applyBorder="0" applyAlignment="0" applyProtection="0"/>
    <xf numFmtId="174" fontId="36" fillId="0" borderId="0" applyFont="0" applyFill="0" applyBorder="0" applyAlignment="0" applyProtection="0"/>
    <xf numFmtId="174" fontId="36" fillId="0" borderId="0" applyFont="0" applyFill="0" applyBorder="0" applyAlignment="0" applyProtection="0"/>
    <xf numFmtId="174" fontId="36" fillId="0" borderId="0" applyFont="0" applyFill="0" applyBorder="0" applyAlignment="0" applyProtection="0"/>
    <xf numFmtId="174" fontId="36" fillId="0" borderId="0" applyFont="0" applyFill="0" applyBorder="0" applyAlignment="0" applyProtection="0"/>
    <xf numFmtId="174" fontId="36" fillId="0" borderId="0" applyFont="0" applyFill="0" applyBorder="0" applyAlignment="0" applyProtection="0"/>
    <xf numFmtId="174" fontId="36" fillId="0" borderId="0" applyFont="0" applyFill="0" applyBorder="0" applyAlignment="0" applyProtection="0"/>
    <xf numFmtId="174" fontId="36" fillId="0" borderId="0" applyFont="0" applyFill="0" applyBorder="0" applyAlignment="0" applyProtection="0"/>
    <xf numFmtId="174" fontId="36" fillId="0" borderId="0" applyFont="0" applyFill="0" applyBorder="0" applyAlignment="0" applyProtection="0"/>
    <xf numFmtId="174" fontId="36" fillId="0" borderId="0" applyFont="0" applyFill="0" applyBorder="0" applyAlignment="0" applyProtection="0"/>
    <xf numFmtId="174" fontId="36" fillId="0" borderId="0" applyFont="0" applyFill="0" applyBorder="0" applyAlignment="0" applyProtection="0"/>
    <xf numFmtId="174" fontId="36" fillId="0" borderId="0" applyFont="0" applyFill="0" applyBorder="0" applyAlignment="0" applyProtection="0"/>
    <xf numFmtId="174" fontId="36" fillId="0" borderId="0" applyFont="0" applyFill="0" applyBorder="0" applyAlignment="0" applyProtection="0"/>
    <xf numFmtId="174" fontId="36" fillId="0" borderId="0" applyFont="0" applyFill="0" applyBorder="0" applyAlignment="0" applyProtection="0"/>
    <xf numFmtId="174" fontId="36" fillId="0" borderId="0" applyFont="0" applyFill="0" applyBorder="0" applyAlignment="0" applyProtection="0"/>
    <xf numFmtId="174" fontId="36" fillId="0" borderId="0" applyFont="0" applyFill="0" applyBorder="0" applyAlignment="0" applyProtection="0"/>
    <xf numFmtId="174" fontId="36" fillId="0" borderId="0" applyFont="0" applyFill="0" applyBorder="0" applyAlignment="0" applyProtection="0"/>
    <xf numFmtId="0" fontId="87" fillId="0" borderId="0"/>
    <xf numFmtId="174" fontId="36" fillId="0" borderId="0" applyFont="0" applyFill="0" applyBorder="0" applyAlignment="0" applyProtection="0"/>
    <xf numFmtId="174" fontId="36" fillId="0" borderId="0" applyFont="0" applyFill="0" applyBorder="0" applyAlignment="0" applyProtection="0"/>
    <xf numFmtId="0" fontId="87" fillId="0" borderId="0"/>
    <xf numFmtId="174" fontId="36" fillId="0" borderId="0" applyFont="0" applyFill="0" applyBorder="0" applyAlignment="0" applyProtection="0"/>
    <xf numFmtId="174" fontId="36" fillId="0" borderId="0" applyFont="0" applyFill="0" applyBorder="0" applyAlignment="0" applyProtection="0"/>
    <xf numFmtId="0" fontId="87" fillId="0" borderId="0"/>
    <xf numFmtId="174" fontId="36" fillId="0" borderId="0" applyFont="0" applyFill="0" applyBorder="0" applyAlignment="0" applyProtection="0"/>
    <xf numFmtId="174" fontId="36" fillId="0" borderId="0" applyFont="0" applyFill="0" applyBorder="0" applyAlignment="0" applyProtection="0"/>
    <xf numFmtId="174" fontId="36" fillId="0" borderId="0" applyFont="0" applyFill="0" applyBorder="0" applyAlignment="0" applyProtection="0"/>
    <xf numFmtId="174" fontId="36" fillId="0" borderId="0" applyFont="0" applyFill="0" applyBorder="0" applyAlignment="0" applyProtection="0"/>
    <xf numFmtId="174" fontId="36" fillId="0" borderId="0" applyFont="0" applyFill="0" applyBorder="0" applyAlignment="0" applyProtection="0"/>
    <xf numFmtId="174" fontId="36" fillId="0" borderId="0" applyFont="0" applyFill="0" applyBorder="0" applyAlignment="0" applyProtection="0"/>
    <xf numFmtId="174" fontId="36" fillId="0" borderId="0" applyFont="0" applyFill="0" applyBorder="0" applyAlignment="0" applyProtection="0"/>
    <xf numFmtId="174" fontId="36" fillId="0" borderId="0" applyFont="0" applyFill="0" applyBorder="0" applyAlignment="0" applyProtection="0"/>
    <xf numFmtId="174" fontId="36" fillId="0" borderId="0" applyFont="0" applyFill="0" applyBorder="0" applyAlignment="0" applyProtection="0"/>
    <xf numFmtId="174" fontId="36" fillId="0" borderId="0" applyFont="0" applyFill="0" applyBorder="0" applyAlignment="0" applyProtection="0"/>
    <xf numFmtId="174" fontId="36" fillId="0" borderId="0" applyFont="0" applyFill="0" applyBorder="0" applyAlignment="0" applyProtection="0"/>
    <xf numFmtId="174" fontId="36" fillId="0" borderId="0" applyFont="0" applyFill="0" applyBorder="0" applyAlignment="0" applyProtection="0"/>
    <xf numFmtId="174" fontId="36" fillId="0" borderId="0" applyFont="0" applyFill="0" applyBorder="0" applyAlignment="0" applyProtection="0"/>
    <xf numFmtId="174" fontId="36" fillId="0" borderId="0" applyFont="0" applyFill="0" applyBorder="0" applyAlignment="0" applyProtection="0"/>
    <xf numFmtId="174" fontId="36" fillId="0" borderId="0" applyFont="0" applyFill="0" applyBorder="0" applyAlignment="0" applyProtection="0"/>
    <xf numFmtId="174" fontId="36" fillId="0" borderId="0" applyFont="0" applyFill="0" applyBorder="0" applyAlignment="0" applyProtection="0"/>
    <xf numFmtId="174" fontId="36" fillId="0" borderId="0" applyFont="0" applyFill="0" applyBorder="0" applyAlignment="0" applyProtection="0"/>
    <xf numFmtId="174" fontId="36" fillId="0" borderId="0" applyFont="0" applyFill="0" applyBorder="0" applyAlignment="0" applyProtection="0"/>
    <xf numFmtId="174" fontId="36" fillId="0" borderId="0" applyFont="0" applyFill="0" applyBorder="0" applyAlignment="0" applyProtection="0"/>
    <xf numFmtId="174" fontId="36" fillId="0" borderId="0" applyFont="0" applyFill="0" applyBorder="0" applyAlignment="0" applyProtection="0"/>
    <xf numFmtId="174" fontId="36" fillId="0" borderId="0" applyFont="0" applyFill="0" applyBorder="0" applyAlignment="0" applyProtection="0"/>
    <xf numFmtId="174" fontId="36" fillId="0" borderId="0" applyFont="0" applyFill="0" applyBorder="0" applyAlignment="0" applyProtection="0"/>
    <xf numFmtId="41" fontId="36" fillId="0" borderId="0" applyFont="0" applyFill="0" applyBorder="0" applyAlignment="0" applyProtection="0"/>
    <xf numFmtId="174" fontId="36" fillId="0" borderId="0" applyFont="0" applyFill="0" applyBorder="0" applyAlignment="0" applyProtection="0"/>
    <xf numFmtId="174" fontId="36" fillId="0" borderId="0" applyFont="0" applyFill="0" applyBorder="0" applyAlignment="0" applyProtection="0"/>
    <xf numFmtId="41" fontId="36" fillId="0" borderId="0" applyFont="0" applyFill="0" applyBorder="0" applyAlignment="0" applyProtection="0"/>
    <xf numFmtId="174" fontId="36" fillId="0" borderId="0" applyFont="0" applyFill="0" applyBorder="0" applyAlignment="0" applyProtection="0"/>
    <xf numFmtId="174" fontId="36" fillId="0" borderId="0" applyFont="0" applyFill="0" applyBorder="0" applyAlignment="0" applyProtection="0"/>
    <xf numFmtId="41" fontId="36" fillId="0" borderId="0" applyFont="0" applyFill="0" applyBorder="0" applyAlignment="0" applyProtection="0"/>
    <xf numFmtId="174" fontId="36" fillId="0" borderId="0" applyFont="0" applyFill="0" applyBorder="0" applyAlignment="0" applyProtection="0"/>
    <xf numFmtId="174" fontId="36" fillId="0" borderId="0" applyFont="0" applyFill="0" applyBorder="0" applyAlignment="0" applyProtection="0"/>
    <xf numFmtId="41" fontId="88" fillId="0" borderId="0" applyFont="0" applyFill="0" applyBorder="0" applyAlignment="0" applyProtection="0"/>
    <xf numFmtId="41" fontId="88" fillId="0" borderId="0" applyFont="0" applyFill="0" applyBorder="0" applyAlignment="0" applyProtection="0"/>
    <xf numFmtId="174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1" fontId="88" fillId="0" borderId="0" applyFont="0" applyFill="0" applyBorder="0" applyAlignment="0" applyProtection="0"/>
    <xf numFmtId="41" fontId="88" fillId="0" borderId="0" applyFont="0" applyFill="0" applyBorder="0" applyAlignment="0" applyProtection="0"/>
    <xf numFmtId="43" fontId="36" fillId="0" borderId="0" applyFont="0" applyFill="0" applyBorder="0" applyAlignment="0" applyProtection="0"/>
    <xf numFmtId="41" fontId="88" fillId="0" borderId="0" applyFont="0" applyFill="0" applyBorder="0" applyAlignment="0" applyProtection="0"/>
    <xf numFmtId="41" fontId="88" fillId="0" borderId="0" applyFont="0" applyFill="0" applyBorder="0" applyAlignment="0" applyProtection="0"/>
    <xf numFmtId="43" fontId="36" fillId="0" borderId="0" applyFont="0" applyFill="0" applyBorder="0" applyAlignment="0" applyProtection="0"/>
    <xf numFmtId="41" fontId="88" fillId="0" borderId="0" applyFont="0" applyFill="0" applyBorder="0" applyAlignment="0" applyProtection="0"/>
    <xf numFmtId="41" fontId="88" fillId="0" borderId="0" applyFont="0" applyFill="0" applyBorder="0" applyAlignment="0" applyProtection="0"/>
    <xf numFmtId="41" fontId="88" fillId="0" borderId="0" applyFont="0" applyFill="0" applyBorder="0" applyAlignment="0" applyProtection="0"/>
    <xf numFmtId="41" fontId="88" fillId="0" borderId="0" applyFont="0" applyFill="0" applyBorder="0" applyAlignment="0" applyProtection="0"/>
    <xf numFmtId="41" fontId="88" fillId="0" borderId="0" applyFont="0" applyFill="0" applyBorder="0" applyAlignment="0" applyProtection="0"/>
    <xf numFmtId="41" fontId="88" fillId="0" borderId="0" applyFont="0" applyFill="0" applyBorder="0" applyAlignment="0" applyProtection="0"/>
    <xf numFmtId="41" fontId="88" fillId="0" borderId="0" applyFont="0" applyFill="0" applyBorder="0" applyAlignment="0" applyProtection="0"/>
    <xf numFmtId="41" fontId="88" fillId="0" borderId="0" applyFont="0" applyFill="0" applyBorder="0" applyAlignment="0" applyProtection="0"/>
    <xf numFmtId="41" fontId="88" fillId="0" borderId="0" applyFont="0" applyFill="0" applyBorder="0" applyAlignment="0" applyProtection="0"/>
    <xf numFmtId="41" fontId="88" fillId="0" borderId="0" applyFont="0" applyFill="0" applyBorder="0" applyAlignment="0" applyProtection="0"/>
    <xf numFmtId="41" fontId="88" fillId="0" borderId="0" applyFont="0" applyFill="0" applyBorder="0" applyAlignment="0" applyProtection="0"/>
    <xf numFmtId="41" fontId="88" fillId="0" borderId="0" applyFont="0" applyFill="0" applyBorder="0" applyAlignment="0" applyProtection="0"/>
    <xf numFmtId="41" fontId="88" fillId="0" borderId="0" applyFont="0" applyFill="0" applyBorder="0" applyAlignment="0" applyProtection="0"/>
    <xf numFmtId="41" fontId="88" fillId="0" borderId="0" applyFont="0" applyFill="0" applyBorder="0" applyAlignment="0" applyProtection="0"/>
    <xf numFmtId="41" fontId="88" fillId="0" borderId="0" applyFont="0" applyFill="0" applyBorder="0" applyAlignment="0" applyProtection="0"/>
    <xf numFmtId="41" fontId="88" fillId="0" borderId="0" applyFont="0" applyFill="0" applyBorder="0" applyAlignment="0" applyProtection="0"/>
    <xf numFmtId="0" fontId="92" fillId="0" borderId="0"/>
    <xf numFmtId="41" fontId="92" fillId="0" borderId="0" applyFont="0" applyFill="0" applyBorder="0" applyAlignment="0" applyProtection="0"/>
    <xf numFmtId="41" fontId="88" fillId="0" borderId="0" applyFont="0" applyFill="0" applyBorder="0" applyAlignment="0" applyProtection="0"/>
    <xf numFmtId="41" fontId="88" fillId="0" borderId="0" applyFont="0" applyFill="0" applyBorder="0" applyAlignment="0" applyProtection="0"/>
    <xf numFmtId="0" fontId="92" fillId="0" borderId="0"/>
    <xf numFmtId="41" fontId="36" fillId="0" borderId="0" applyFont="0" applyFill="0" applyBorder="0" applyAlignment="0" applyProtection="0"/>
    <xf numFmtId="41" fontId="88" fillId="0" borderId="0" applyFont="0" applyFill="0" applyBorder="0" applyAlignment="0" applyProtection="0"/>
    <xf numFmtId="41" fontId="88" fillId="0" borderId="0" applyFont="0" applyFill="0" applyBorder="0" applyAlignment="0" applyProtection="0"/>
    <xf numFmtId="41" fontId="88" fillId="0" borderId="0" applyFont="0" applyFill="0" applyBorder="0" applyAlignment="0" applyProtection="0"/>
    <xf numFmtId="41" fontId="88" fillId="0" borderId="0" applyFont="0" applyFill="0" applyBorder="0" applyAlignment="0" applyProtection="0"/>
    <xf numFmtId="41" fontId="88" fillId="0" borderId="0" applyFont="0" applyFill="0" applyBorder="0" applyAlignment="0" applyProtection="0"/>
    <xf numFmtId="41" fontId="88" fillId="0" borderId="0" applyFont="0" applyFill="0" applyBorder="0" applyAlignment="0" applyProtection="0"/>
    <xf numFmtId="41" fontId="88" fillId="0" borderId="0" applyFont="0" applyFill="0" applyBorder="0" applyAlignment="0" applyProtection="0"/>
    <xf numFmtId="41" fontId="88" fillId="0" borderId="0" applyFont="0" applyFill="0" applyBorder="0" applyAlignment="0" applyProtection="0"/>
    <xf numFmtId="41" fontId="88" fillId="0" borderId="0" applyFont="0" applyFill="0" applyBorder="0" applyAlignment="0" applyProtection="0"/>
    <xf numFmtId="41" fontId="88" fillId="0" borderId="0" applyFont="0" applyFill="0" applyBorder="0" applyAlignment="0" applyProtection="0"/>
    <xf numFmtId="41" fontId="88" fillId="0" borderId="0" applyFont="0" applyFill="0" applyBorder="0" applyAlignment="0" applyProtection="0"/>
    <xf numFmtId="41" fontId="88" fillId="0" borderId="0" applyFont="0" applyFill="0" applyBorder="0" applyAlignment="0" applyProtection="0"/>
    <xf numFmtId="41" fontId="88" fillId="0" borderId="0" applyFont="0" applyFill="0" applyBorder="0" applyAlignment="0" applyProtection="0"/>
    <xf numFmtId="41" fontId="36" fillId="0" borderId="0" applyFont="0" applyFill="0" applyBorder="0" applyAlignment="0" applyProtection="0"/>
    <xf numFmtId="41" fontId="88" fillId="0" borderId="0" applyFont="0" applyFill="0" applyBorder="0" applyAlignment="0" applyProtection="0"/>
    <xf numFmtId="41" fontId="88" fillId="0" borderId="0" applyFont="0" applyFill="0" applyBorder="0" applyAlignment="0" applyProtection="0"/>
    <xf numFmtId="41" fontId="88" fillId="0" borderId="0" applyFont="0" applyFill="0" applyBorder="0" applyAlignment="0" applyProtection="0"/>
    <xf numFmtId="41" fontId="88" fillId="0" borderId="0" applyFont="0" applyFill="0" applyBorder="0" applyAlignment="0" applyProtection="0"/>
    <xf numFmtId="41" fontId="88" fillId="0" borderId="0" applyFont="0" applyFill="0" applyBorder="0" applyAlignment="0" applyProtection="0"/>
    <xf numFmtId="41" fontId="88" fillId="0" borderId="0" applyFont="0" applyFill="0" applyBorder="0" applyAlignment="0" applyProtection="0"/>
    <xf numFmtId="41" fontId="88" fillId="0" borderId="0" applyFont="0" applyFill="0" applyBorder="0" applyAlignment="0" applyProtection="0"/>
    <xf numFmtId="41" fontId="88" fillId="0" borderId="0" applyFont="0" applyFill="0" applyBorder="0" applyAlignment="0" applyProtection="0"/>
    <xf numFmtId="41" fontId="88" fillId="0" borderId="0" applyFont="0" applyFill="0" applyBorder="0" applyAlignment="0" applyProtection="0"/>
    <xf numFmtId="41" fontId="88" fillId="0" borderId="0" applyFont="0" applyFill="0" applyBorder="0" applyAlignment="0" applyProtection="0"/>
    <xf numFmtId="41" fontId="36" fillId="0" borderId="0" applyFont="0" applyFill="0" applyBorder="0" applyAlignment="0" applyProtection="0"/>
    <xf numFmtId="171" fontId="92" fillId="0" borderId="0" applyFont="0" applyFill="0" applyBorder="0" applyAlignment="0" applyProtection="0"/>
    <xf numFmtId="171" fontId="92" fillId="0" borderId="0" applyFont="0" applyFill="0" applyBorder="0" applyAlignment="0" applyProtection="0"/>
    <xf numFmtId="41" fontId="36" fillId="0" borderId="0" applyFont="0" applyFill="0" applyBorder="0" applyAlignment="0" applyProtection="0"/>
    <xf numFmtId="171" fontId="92" fillId="0" borderId="0" applyFont="0" applyFill="0" applyBorder="0" applyAlignment="0" applyProtection="0"/>
    <xf numFmtId="171" fontId="92" fillId="0" borderId="0" applyFont="0" applyFill="0" applyBorder="0" applyAlignment="0" applyProtection="0"/>
    <xf numFmtId="41" fontId="36" fillId="0" borderId="0" applyFont="0" applyFill="0" applyBorder="0" applyAlignment="0" applyProtection="0"/>
    <xf numFmtId="171" fontId="92" fillId="0" borderId="0" applyFont="0" applyFill="0" applyBorder="0" applyAlignment="0" applyProtection="0"/>
    <xf numFmtId="171" fontId="92" fillId="0" borderId="0" applyFont="0" applyFill="0" applyBorder="0" applyAlignment="0" applyProtection="0"/>
    <xf numFmtId="41" fontId="36" fillId="0" borderId="0" applyFont="0" applyFill="0" applyBorder="0" applyAlignment="0" applyProtection="0"/>
    <xf numFmtId="41" fontId="88" fillId="0" borderId="0" applyFont="0" applyFill="0" applyBorder="0" applyAlignment="0" applyProtection="0"/>
    <xf numFmtId="41" fontId="36" fillId="0" borderId="0" applyFont="0" applyFill="0" applyBorder="0" applyAlignment="0" applyProtection="0"/>
    <xf numFmtId="41" fontId="88" fillId="0" borderId="0" applyFont="0" applyFill="0" applyBorder="0" applyAlignment="0" applyProtection="0"/>
    <xf numFmtId="41" fontId="36" fillId="0" borderId="0" applyFont="0" applyFill="0" applyBorder="0" applyAlignment="0" applyProtection="0"/>
    <xf numFmtId="175" fontId="12" fillId="0" borderId="0" applyFont="0" applyFill="0" applyBorder="0" applyAlignment="0" applyProtection="0"/>
    <xf numFmtId="41" fontId="88" fillId="0" borderId="0" applyFont="0" applyFill="0" applyBorder="0" applyAlignment="0" applyProtection="0"/>
    <xf numFmtId="41" fontId="88" fillId="0" borderId="0" applyFont="0" applyFill="0" applyBorder="0" applyAlignment="0" applyProtection="0"/>
    <xf numFmtId="41" fontId="88" fillId="0" borderId="0" applyFont="0" applyFill="0" applyBorder="0" applyAlignment="0" applyProtection="0"/>
    <xf numFmtId="41" fontId="88" fillId="0" borderId="0" applyFont="0" applyFill="0" applyBorder="0" applyAlignment="0" applyProtection="0"/>
    <xf numFmtId="41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41" fontId="2" fillId="0" borderId="0" applyFont="0" applyFill="0" applyBorder="0" applyAlignment="0" applyProtection="0"/>
    <xf numFmtId="171" fontId="92" fillId="0" borderId="0" applyFont="0" applyFill="0" applyBorder="0" applyAlignment="0" applyProtection="0"/>
    <xf numFmtId="171" fontId="92" fillId="0" borderId="0" applyFont="0" applyFill="0" applyBorder="0" applyAlignment="0" applyProtection="0"/>
    <xf numFmtId="171" fontId="92" fillId="0" borderId="0" applyFont="0" applyFill="0" applyBorder="0" applyAlignment="0" applyProtection="0"/>
    <xf numFmtId="171" fontId="92" fillId="0" borderId="0" applyFont="0" applyFill="0" applyBorder="0" applyAlignment="0" applyProtection="0"/>
    <xf numFmtId="171" fontId="92" fillId="0" borderId="0" applyFont="0" applyFill="0" applyBorder="0" applyAlignment="0" applyProtection="0"/>
    <xf numFmtId="171" fontId="92" fillId="0" borderId="0" applyFont="0" applyFill="0" applyBorder="0" applyAlignment="0" applyProtection="0"/>
    <xf numFmtId="171" fontId="92" fillId="0" borderId="0" applyFont="0" applyFill="0" applyBorder="0" applyAlignment="0" applyProtection="0"/>
    <xf numFmtId="171" fontId="92" fillId="0" borderId="0" applyFont="0" applyFill="0" applyBorder="0" applyAlignment="0" applyProtection="0"/>
    <xf numFmtId="171" fontId="92" fillId="0" borderId="0" applyFont="0" applyFill="0" applyBorder="0" applyAlignment="0" applyProtection="0"/>
    <xf numFmtId="171" fontId="92" fillId="0" borderId="0" applyFont="0" applyFill="0" applyBorder="0" applyAlignment="0" applyProtection="0"/>
    <xf numFmtId="171" fontId="92" fillId="0" borderId="0" applyFont="0" applyFill="0" applyBorder="0" applyAlignment="0" applyProtection="0"/>
    <xf numFmtId="171" fontId="92" fillId="0" borderId="0" applyFont="0" applyFill="0" applyBorder="0" applyAlignment="0" applyProtection="0"/>
    <xf numFmtId="171" fontId="92" fillId="0" borderId="0" applyFont="0" applyFill="0" applyBorder="0" applyAlignment="0" applyProtection="0"/>
    <xf numFmtId="171" fontId="92" fillId="0" borderId="0" applyFont="0" applyFill="0" applyBorder="0" applyAlignment="0" applyProtection="0"/>
    <xf numFmtId="171" fontId="92" fillId="0" borderId="0" applyFont="0" applyFill="0" applyBorder="0" applyAlignment="0" applyProtection="0"/>
    <xf numFmtId="171" fontId="92" fillId="0" borderId="0" applyFont="0" applyFill="0" applyBorder="0" applyAlignment="0" applyProtection="0"/>
    <xf numFmtId="171" fontId="92" fillId="0" borderId="0" applyFont="0" applyFill="0" applyBorder="0" applyAlignment="0" applyProtection="0"/>
    <xf numFmtId="171" fontId="92" fillId="0" borderId="0" applyFont="0" applyFill="0" applyBorder="0" applyAlignment="0" applyProtection="0"/>
    <xf numFmtId="171" fontId="92" fillId="0" borderId="0" applyFont="0" applyFill="0" applyBorder="0" applyAlignment="0" applyProtection="0"/>
    <xf numFmtId="171" fontId="92" fillId="0" borderId="0" applyFont="0" applyFill="0" applyBorder="0" applyAlignment="0" applyProtection="0"/>
    <xf numFmtId="171" fontId="92" fillId="0" borderId="0" applyFont="0" applyFill="0" applyBorder="0" applyAlignment="0" applyProtection="0"/>
    <xf numFmtId="171" fontId="92" fillId="0" borderId="0" applyFont="0" applyFill="0" applyBorder="0" applyAlignment="0" applyProtection="0"/>
    <xf numFmtId="171" fontId="92" fillId="0" borderId="0" applyFont="0" applyFill="0" applyBorder="0" applyAlignment="0" applyProtection="0"/>
    <xf numFmtId="171" fontId="92" fillId="0" borderId="0" applyFont="0" applyFill="0" applyBorder="0" applyAlignment="0" applyProtection="0"/>
    <xf numFmtId="171" fontId="92" fillId="0" borderId="0" applyFont="0" applyFill="0" applyBorder="0" applyAlignment="0" applyProtection="0"/>
    <xf numFmtId="171" fontId="92" fillId="0" borderId="0" applyFont="0" applyFill="0" applyBorder="0" applyAlignment="0" applyProtection="0"/>
    <xf numFmtId="171" fontId="92" fillId="0" borderId="0" applyFont="0" applyFill="0" applyBorder="0" applyAlignment="0" applyProtection="0"/>
    <xf numFmtId="171" fontId="92" fillId="0" borderId="0" applyFont="0" applyFill="0" applyBorder="0" applyAlignment="0" applyProtection="0"/>
    <xf numFmtId="171" fontId="92" fillId="0" borderId="0" applyFont="0" applyFill="0" applyBorder="0" applyAlignment="0" applyProtection="0"/>
    <xf numFmtId="171" fontId="92" fillId="0" borderId="0" applyFont="0" applyFill="0" applyBorder="0" applyAlignment="0" applyProtection="0"/>
    <xf numFmtId="171" fontId="92" fillId="0" borderId="0" applyFont="0" applyFill="0" applyBorder="0" applyAlignment="0" applyProtection="0"/>
    <xf numFmtId="171" fontId="92" fillId="0" borderId="0" applyFont="0" applyFill="0" applyBorder="0" applyAlignment="0" applyProtection="0"/>
    <xf numFmtId="171" fontId="92" fillId="0" borderId="0" applyFont="0" applyFill="0" applyBorder="0" applyAlignment="0" applyProtection="0"/>
    <xf numFmtId="171" fontId="92" fillId="0" borderId="0" applyFont="0" applyFill="0" applyBorder="0" applyAlignment="0" applyProtection="0"/>
    <xf numFmtId="171" fontId="92" fillId="0" borderId="0" applyFont="0" applyFill="0" applyBorder="0" applyAlignment="0" applyProtection="0"/>
    <xf numFmtId="171" fontId="92" fillId="0" borderId="0" applyFont="0" applyFill="0" applyBorder="0" applyAlignment="0" applyProtection="0"/>
    <xf numFmtId="171" fontId="92" fillId="0" borderId="0" applyFont="0" applyFill="0" applyBorder="0" applyAlignment="0" applyProtection="0"/>
    <xf numFmtId="171" fontId="92" fillId="0" borderId="0" applyFont="0" applyFill="0" applyBorder="0" applyAlignment="0" applyProtection="0"/>
    <xf numFmtId="171" fontId="92" fillId="0" borderId="0" applyFont="0" applyFill="0" applyBorder="0" applyAlignment="0" applyProtection="0"/>
    <xf numFmtId="171" fontId="92" fillId="0" borderId="0" applyFont="0" applyFill="0" applyBorder="0" applyAlignment="0" applyProtection="0"/>
    <xf numFmtId="171" fontId="92" fillId="0" borderId="0" applyFont="0" applyFill="0" applyBorder="0" applyAlignment="0" applyProtection="0"/>
    <xf numFmtId="171" fontId="92" fillId="0" borderId="0" applyFont="0" applyFill="0" applyBorder="0" applyAlignment="0" applyProtection="0"/>
    <xf numFmtId="171" fontId="92" fillId="0" borderId="0" applyFont="0" applyFill="0" applyBorder="0" applyAlignment="0" applyProtection="0"/>
    <xf numFmtId="171" fontId="92" fillId="0" borderId="0" applyFont="0" applyFill="0" applyBorder="0" applyAlignment="0" applyProtection="0"/>
    <xf numFmtId="171" fontId="92" fillId="0" borderId="0" applyFont="0" applyFill="0" applyBorder="0" applyAlignment="0" applyProtection="0"/>
    <xf numFmtId="171" fontId="92" fillId="0" borderId="0" applyFont="0" applyFill="0" applyBorder="0" applyAlignment="0" applyProtection="0"/>
    <xf numFmtId="171" fontId="92" fillId="0" borderId="0" applyFont="0" applyFill="0" applyBorder="0" applyAlignment="0" applyProtection="0"/>
    <xf numFmtId="171" fontId="92" fillId="0" borderId="0" applyFont="0" applyFill="0" applyBorder="0" applyAlignment="0" applyProtection="0"/>
    <xf numFmtId="171" fontId="92" fillId="0" borderId="0" applyFont="0" applyFill="0" applyBorder="0" applyAlignment="0" applyProtection="0"/>
    <xf numFmtId="171" fontId="92" fillId="0" borderId="0" applyFont="0" applyFill="0" applyBorder="0" applyAlignment="0" applyProtection="0"/>
    <xf numFmtId="171" fontId="92" fillId="0" borderId="0" applyFont="0" applyFill="0" applyBorder="0" applyAlignment="0" applyProtection="0"/>
    <xf numFmtId="171" fontId="92" fillId="0" borderId="0" applyFont="0" applyFill="0" applyBorder="0" applyAlignment="0" applyProtection="0"/>
    <xf numFmtId="171" fontId="92" fillId="0" borderId="0" applyFont="0" applyFill="0" applyBorder="0" applyAlignment="0" applyProtection="0"/>
    <xf numFmtId="171" fontId="92" fillId="0" borderId="0" applyFont="0" applyFill="0" applyBorder="0" applyAlignment="0" applyProtection="0"/>
    <xf numFmtId="171" fontId="92" fillId="0" borderId="0" applyFont="0" applyFill="0" applyBorder="0" applyAlignment="0" applyProtection="0"/>
    <xf numFmtId="171" fontId="92" fillId="0" borderId="0" applyFont="0" applyFill="0" applyBorder="0" applyAlignment="0" applyProtection="0"/>
    <xf numFmtId="171" fontId="92" fillId="0" borderId="0" applyFont="0" applyFill="0" applyBorder="0" applyAlignment="0" applyProtection="0"/>
    <xf numFmtId="171" fontId="92" fillId="0" borderId="0" applyFont="0" applyFill="0" applyBorder="0" applyAlignment="0" applyProtection="0"/>
    <xf numFmtId="171" fontId="92" fillId="0" borderId="0" applyFont="0" applyFill="0" applyBorder="0" applyAlignment="0" applyProtection="0"/>
    <xf numFmtId="171" fontId="92" fillId="0" borderId="0" applyFont="0" applyFill="0" applyBorder="0" applyAlignment="0" applyProtection="0"/>
    <xf numFmtId="171" fontId="92" fillId="0" borderId="0" applyFont="0" applyFill="0" applyBorder="0" applyAlignment="0" applyProtection="0"/>
    <xf numFmtId="171" fontId="92" fillId="0" borderId="0" applyFont="0" applyFill="0" applyBorder="0" applyAlignment="0" applyProtection="0"/>
    <xf numFmtId="171" fontId="92" fillId="0" borderId="0" applyFont="0" applyFill="0" applyBorder="0" applyAlignment="0" applyProtection="0"/>
    <xf numFmtId="171" fontId="92" fillId="0" borderId="0" applyFont="0" applyFill="0" applyBorder="0" applyAlignment="0" applyProtection="0"/>
    <xf numFmtId="171" fontId="92" fillId="0" borderId="0" applyFont="0" applyFill="0" applyBorder="0" applyAlignment="0" applyProtection="0"/>
    <xf numFmtId="41" fontId="88" fillId="0" borderId="0" applyFont="0" applyFill="0" applyBorder="0" applyAlignment="0" applyProtection="0"/>
    <xf numFmtId="41" fontId="88" fillId="0" borderId="0" applyFont="0" applyFill="0" applyBorder="0" applyAlignment="0" applyProtection="0"/>
    <xf numFmtId="41" fontId="88" fillId="0" borderId="0" applyFont="0" applyFill="0" applyBorder="0" applyAlignment="0" applyProtection="0"/>
    <xf numFmtId="41" fontId="88" fillId="0" borderId="0" applyFont="0" applyFill="0" applyBorder="0" applyAlignment="0" applyProtection="0"/>
    <xf numFmtId="41" fontId="88" fillId="0" borderId="0" applyFont="0" applyFill="0" applyBorder="0" applyAlignment="0" applyProtection="0"/>
    <xf numFmtId="41" fontId="88" fillId="0" borderId="0" applyFont="0" applyFill="0" applyBorder="0" applyAlignment="0" applyProtection="0"/>
    <xf numFmtId="41" fontId="88" fillId="0" borderId="0" applyFont="0" applyFill="0" applyBorder="0" applyAlignment="0" applyProtection="0"/>
    <xf numFmtId="41" fontId="88" fillId="0" borderId="0" applyFont="0" applyFill="0" applyBorder="0" applyAlignment="0" applyProtection="0"/>
    <xf numFmtId="41" fontId="88" fillId="0" borderId="0" applyFont="0" applyFill="0" applyBorder="0" applyAlignment="0" applyProtection="0"/>
    <xf numFmtId="41" fontId="88" fillId="0" borderId="0" applyFont="0" applyFill="0" applyBorder="0" applyAlignment="0" applyProtection="0"/>
    <xf numFmtId="41" fontId="88" fillId="0" borderId="0" applyFont="0" applyFill="0" applyBorder="0" applyAlignment="0" applyProtection="0"/>
    <xf numFmtId="41" fontId="88" fillId="0" borderId="0" applyFont="0" applyFill="0" applyBorder="0" applyAlignment="0" applyProtection="0"/>
    <xf numFmtId="41" fontId="88" fillId="0" borderId="0" applyFont="0" applyFill="0" applyBorder="0" applyAlignment="0" applyProtection="0"/>
    <xf numFmtId="41" fontId="88" fillId="0" borderId="0" applyFont="0" applyFill="0" applyBorder="0" applyAlignment="0" applyProtection="0"/>
    <xf numFmtId="41" fontId="88" fillId="0" borderId="0" applyFont="0" applyFill="0" applyBorder="0" applyAlignment="0" applyProtection="0"/>
    <xf numFmtId="41" fontId="88" fillId="0" borderId="0" applyFont="0" applyFill="0" applyBorder="0" applyAlignment="0" applyProtection="0"/>
    <xf numFmtId="41" fontId="88" fillId="0" borderId="0" applyFont="0" applyFill="0" applyBorder="0" applyAlignment="0" applyProtection="0"/>
    <xf numFmtId="41" fontId="88" fillId="0" borderId="0" applyFont="0" applyFill="0" applyBorder="0" applyAlignment="0" applyProtection="0"/>
    <xf numFmtId="41" fontId="88" fillId="0" borderId="0" applyFont="0" applyFill="0" applyBorder="0" applyAlignment="0" applyProtection="0"/>
    <xf numFmtId="41" fontId="88" fillId="0" borderId="0" applyFont="0" applyFill="0" applyBorder="0" applyAlignment="0" applyProtection="0"/>
    <xf numFmtId="41" fontId="88" fillId="0" borderId="0" applyFont="0" applyFill="0" applyBorder="0" applyAlignment="0" applyProtection="0"/>
    <xf numFmtId="41" fontId="88" fillId="0" borderId="0" applyFont="0" applyFill="0" applyBorder="0" applyAlignment="0" applyProtection="0"/>
    <xf numFmtId="41" fontId="88" fillId="0" borderId="0" applyFont="0" applyFill="0" applyBorder="0" applyAlignment="0" applyProtection="0"/>
    <xf numFmtId="41" fontId="88" fillId="0" borderId="0" applyFont="0" applyFill="0" applyBorder="0" applyAlignment="0" applyProtection="0"/>
    <xf numFmtId="41" fontId="88" fillId="0" borderId="0" applyFont="0" applyFill="0" applyBorder="0" applyAlignment="0" applyProtection="0"/>
    <xf numFmtId="41" fontId="88" fillId="0" borderId="0" applyFont="0" applyFill="0" applyBorder="0" applyAlignment="0" applyProtection="0"/>
    <xf numFmtId="41" fontId="88" fillId="0" borderId="0" applyFont="0" applyFill="0" applyBorder="0" applyAlignment="0" applyProtection="0"/>
    <xf numFmtId="41" fontId="88" fillId="0" borderId="0" applyFont="0" applyFill="0" applyBorder="0" applyAlignment="0" applyProtection="0"/>
    <xf numFmtId="41" fontId="88" fillId="0" borderId="0" applyFont="0" applyFill="0" applyBorder="0" applyAlignment="0" applyProtection="0"/>
    <xf numFmtId="41" fontId="88" fillId="0" borderId="0" applyFont="0" applyFill="0" applyBorder="0" applyAlignment="0" applyProtection="0"/>
    <xf numFmtId="41" fontId="88" fillId="0" borderId="0" applyFont="0" applyFill="0" applyBorder="0" applyAlignment="0" applyProtection="0"/>
    <xf numFmtId="41" fontId="88" fillId="0" borderId="0" applyFont="0" applyFill="0" applyBorder="0" applyAlignment="0" applyProtection="0"/>
    <xf numFmtId="41" fontId="88" fillId="0" borderId="0" applyFont="0" applyFill="0" applyBorder="0" applyAlignment="0" applyProtection="0"/>
    <xf numFmtId="41" fontId="88" fillId="0" borderId="0" applyFont="0" applyFill="0" applyBorder="0" applyAlignment="0" applyProtection="0"/>
    <xf numFmtId="41" fontId="88" fillId="0" borderId="0" applyFont="0" applyFill="0" applyBorder="0" applyAlignment="0" applyProtection="0"/>
    <xf numFmtId="41" fontId="88" fillId="0" borderId="0" applyFont="0" applyFill="0" applyBorder="0" applyAlignment="0" applyProtection="0"/>
    <xf numFmtId="41" fontId="88" fillId="0" borderId="0" applyFont="0" applyFill="0" applyBorder="0" applyAlignment="0" applyProtection="0"/>
    <xf numFmtId="41" fontId="88" fillId="0" borderId="0" applyFont="0" applyFill="0" applyBorder="0" applyAlignment="0" applyProtection="0"/>
    <xf numFmtId="41" fontId="88" fillId="0" borderId="0" applyFont="0" applyFill="0" applyBorder="0" applyAlignment="0" applyProtection="0"/>
    <xf numFmtId="41" fontId="88" fillId="0" borderId="0" applyFont="0" applyFill="0" applyBorder="0" applyAlignment="0" applyProtection="0"/>
    <xf numFmtId="41" fontId="88" fillId="0" borderId="0" applyFont="0" applyFill="0" applyBorder="0" applyAlignment="0" applyProtection="0"/>
    <xf numFmtId="41" fontId="88" fillId="0" borderId="0" applyFont="0" applyFill="0" applyBorder="0" applyAlignment="0" applyProtection="0"/>
    <xf numFmtId="41" fontId="88" fillId="0" borderId="0" applyFont="0" applyFill="0" applyBorder="0" applyAlignment="0" applyProtection="0"/>
    <xf numFmtId="41" fontId="88" fillId="0" borderId="0" applyFont="0" applyFill="0" applyBorder="0" applyAlignment="0" applyProtection="0"/>
    <xf numFmtId="41" fontId="88" fillId="0" borderId="0" applyFont="0" applyFill="0" applyBorder="0" applyAlignment="0" applyProtection="0"/>
    <xf numFmtId="41" fontId="88" fillId="0" borderId="0" applyFont="0" applyFill="0" applyBorder="0" applyAlignment="0" applyProtection="0"/>
    <xf numFmtId="41" fontId="88" fillId="0" borderId="0" applyFont="0" applyFill="0" applyBorder="0" applyAlignment="0" applyProtection="0"/>
    <xf numFmtId="41" fontId="88" fillId="0" borderId="0" applyFont="0" applyFill="0" applyBorder="0" applyAlignment="0" applyProtection="0"/>
    <xf numFmtId="41" fontId="88" fillId="0" borderId="0" applyFont="0" applyFill="0" applyBorder="0" applyAlignment="0" applyProtection="0"/>
    <xf numFmtId="41" fontId="88" fillId="0" borderId="0" applyFont="0" applyFill="0" applyBorder="0" applyAlignment="0" applyProtection="0"/>
    <xf numFmtId="41" fontId="88" fillId="0" borderId="0" applyFont="0" applyFill="0" applyBorder="0" applyAlignment="0" applyProtection="0"/>
    <xf numFmtId="41" fontId="88" fillId="0" borderId="0" applyFont="0" applyFill="0" applyBorder="0" applyAlignment="0" applyProtection="0"/>
    <xf numFmtId="41" fontId="88" fillId="0" borderId="0" applyFont="0" applyFill="0" applyBorder="0" applyAlignment="0" applyProtection="0"/>
    <xf numFmtId="41" fontId="88" fillId="0" borderId="0" applyFont="0" applyFill="0" applyBorder="0" applyAlignment="0" applyProtection="0"/>
    <xf numFmtId="41" fontId="88" fillId="0" borderId="0" applyFont="0" applyFill="0" applyBorder="0" applyAlignment="0" applyProtection="0"/>
    <xf numFmtId="41" fontId="88" fillId="0" borderId="0" applyFont="0" applyFill="0" applyBorder="0" applyAlignment="0" applyProtection="0"/>
    <xf numFmtId="41" fontId="88" fillId="0" borderId="0" applyFont="0" applyFill="0" applyBorder="0" applyAlignment="0" applyProtection="0"/>
    <xf numFmtId="41" fontId="88" fillId="0" borderId="0" applyFont="0" applyFill="0" applyBorder="0" applyAlignment="0" applyProtection="0"/>
    <xf numFmtId="41" fontId="88" fillId="0" borderId="0" applyFont="0" applyFill="0" applyBorder="0" applyAlignment="0" applyProtection="0"/>
    <xf numFmtId="41" fontId="88" fillId="0" borderId="0" applyFont="0" applyFill="0" applyBorder="0" applyAlignment="0" applyProtection="0"/>
    <xf numFmtId="41" fontId="88" fillId="0" borderId="0" applyFont="0" applyFill="0" applyBorder="0" applyAlignment="0" applyProtection="0"/>
    <xf numFmtId="41" fontId="36" fillId="0" borderId="0" applyFont="0" applyFill="0" applyBorder="0" applyAlignment="0" applyProtection="0"/>
    <xf numFmtId="41" fontId="88" fillId="0" borderId="0" applyFont="0" applyFill="0" applyBorder="0" applyAlignment="0" applyProtection="0"/>
    <xf numFmtId="43" fontId="92" fillId="0" borderId="0" applyFont="0" applyFill="0" applyBorder="0" applyAlignment="0" applyProtection="0"/>
    <xf numFmtId="41" fontId="36" fillId="0" borderId="0" applyFont="0" applyFill="0" applyBorder="0" applyAlignment="0" applyProtection="0"/>
    <xf numFmtId="41" fontId="88" fillId="0" borderId="0" applyFont="0" applyFill="0" applyBorder="0" applyAlignment="0" applyProtection="0"/>
    <xf numFmtId="41" fontId="88" fillId="0" borderId="0" applyFont="0" applyFill="0" applyBorder="0" applyAlignment="0" applyProtection="0"/>
    <xf numFmtId="43" fontId="92" fillId="0" borderId="0" applyFont="0" applyFill="0" applyBorder="0" applyAlignment="0" applyProtection="0"/>
    <xf numFmtId="41" fontId="36" fillId="0" borderId="0" applyFont="0" applyFill="0" applyBorder="0" applyAlignment="0" applyProtection="0"/>
    <xf numFmtId="43" fontId="92" fillId="0" borderId="0" applyFont="0" applyFill="0" applyBorder="0" applyAlignment="0" applyProtection="0"/>
    <xf numFmtId="41" fontId="88" fillId="0" borderId="0" applyFont="0" applyFill="0" applyBorder="0" applyAlignment="0" applyProtection="0"/>
    <xf numFmtId="43" fontId="92" fillId="0" borderId="0" applyFont="0" applyFill="0" applyBorder="0" applyAlignment="0" applyProtection="0"/>
    <xf numFmtId="41" fontId="88" fillId="0" borderId="0" applyFont="0" applyFill="0" applyBorder="0" applyAlignment="0" applyProtection="0"/>
    <xf numFmtId="41" fontId="88" fillId="0" borderId="0" applyFont="0" applyFill="0" applyBorder="0" applyAlignment="0" applyProtection="0"/>
    <xf numFmtId="41" fontId="87" fillId="0" borderId="0" applyFont="0" applyFill="0" applyBorder="0" applyAlignment="0" applyProtection="0"/>
    <xf numFmtId="41" fontId="87" fillId="0" borderId="0" applyFont="0" applyFill="0" applyBorder="0" applyAlignment="0" applyProtection="0"/>
    <xf numFmtId="41" fontId="92" fillId="0" borderId="0" applyFont="0" applyFill="0" applyBorder="0" applyAlignment="0" applyProtection="0"/>
    <xf numFmtId="41" fontId="87" fillId="0" borderId="0" applyFont="0" applyFill="0" applyBorder="0" applyAlignment="0" applyProtection="0"/>
    <xf numFmtId="41" fontId="87" fillId="0" borderId="0" applyFont="0" applyFill="0" applyBorder="0" applyAlignment="0" applyProtection="0"/>
    <xf numFmtId="41" fontId="87" fillId="0" borderId="0" applyFont="0" applyFill="0" applyBorder="0" applyAlignment="0" applyProtection="0"/>
    <xf numFmtId="41" fontId="87" fillId="0" borderId="0" applyFont="0" applyFill="0" applyBorder="0" applyAlignment="0" applyProtection="0"/>
    <xf numFmtId="41" fontId="87" fillId="0" borderId="0" applyFont="0" applyFill="0" applyBorder="0" applyAlignment="0" applyProtection="0"/>
    <xf numFmtId="41" fontId="87" fillId="0" borderId="0" applyFont="0" applyFill="0" applyBorder="0" applyAlignment="0" applyProtection="0"/>
    <xf numFmtId="41" fontId="87" fillId="0" borderId="0" applyFont="0" applyFill="0" applyBorder="0" applyAlignment="0" applyProtection="0"/>
    <xf numFmtId="41" fontId="87" fillId="0" borderId="0" applyFont="0" applyFill="0" applyBorder="0" applyAlignment="0" applyProtection="0"/>
    <xf numFmtId="41" fontId="87" fillId="0" borderId="0" applyFont="0" applyFill="0" applyBorder="0" applyAlignment="0" applyProtection="0"/>
    <xf numFmtId="41" fontId="87" fillId="0" borderId="0" applyFont="0" applyFill="0" applyBorder="0" applyAlignment="0" applyProtection="0"/>
    <xf numFmtId="41" fontId="87" fillId="0" borderId="0" applyFont="0" applyFill="0" applyBorder="0" applyAlignment="0" applyProtection="0"/>
    <xf numFmtId="41" fontId="87" fillId="0" borderId="0" applyFont="0" applyFill="0" applyBorder="0" applyAlignment="0" applyProtection="0"/>
    <xf numFmtId="41" fontId="87" fillId="0" borderId="0" applyFont="0" applyFill="0" applyBorder="0" applyAlignment="0" applyProtection="0"/>
    <xf numFmtId="41" fontId="87" fillId="0" borderId="0" applyFont="0" applyFill="0" applyBorder="0" applyAlignment="0" applyProtection="0"/>
    <xf numFmtId="41" fontId="87" fillId="0" borderId="0" applyFont="0" applyFill="0" applyBorder="0" applyAlignment="0" applyProtection="0"/>
    <xf numFmtId="41" fontId="87" fillId="0" borderId="0" applyFont="0" applyFill="0" applyBorder="0" applyAlignment="0" applyProtection="0"/>
    <xf numFmtId="41" fontId="87" fillId="0" borderId="0" applyFont="0" applyFill="0" applyBorder="0" applyAlignment="0" applyProtection="0"/>
    <xf numFmtId="41" fontId="87" fillId="0" borderId="0" applyFont="0" applyFill="0" applyBorder="0" applyAlignment="0" applyProtection="0"/>
    <xf numFmtId="41" fontId="87" fillId="0" borderId="0" applyFont="0" applyFill="0" applyBorder="0" applyAlignment="0" applyProtection="0"/>
    <xf numFmtId="41" fontId="87" fillId="0" borderId="0" applyFont="0" applyFill="0" applyBorder="0" applyAlignment="0" applyProtection="0"/>
    <xf numFmtId="41" fontId="87" fillId="0" borderId="0" applyFont="0" applyFill="0" applyBorder="0" applyAlignment="0" applyProtection="0"/>
    <xf numFmtId="41" fontId="87" fillId="0" borderId="0" applyFont="0" applyFill="0" applyBorder="0" applyAlignment="0" applyProtection="0"/>
    <xf numFmtId="41" fontId="87" fillId="0" borderId="0" applyFont="0" applyFill="0" applyBorder="0" applyAlignment="0" applyProtection="0"/>
    <xf numFmtId="41" fontId="87" fillId="0" borderId="0" applyFont="0" applyFill="0" applyBorder="0" applyAlignment="0" applyProtection="0"/>
    <xf numFmtId="41" fontId="87" fillId="0" borderId="0" applyFont="0" applyFill="0" applyBorder="0" applyAlignment="0" applyProtection="0"/>
    <xf numFmtId="41" fontId="87" fillId="0" borderId="0" applyFont="0" applyFill="0" applyBorder="0" applyAlignment="0" applyProtection="0"/>
    <xf numFmtId="41" fontId="87" fillId="0" borderId="0" applyFont="0" applyFill="0" applyBorder="0" applyAlignment="0" applyProtection="0"/>
    <xf numFmtId="41" fontId="87" fillId="0" borderId="0" applyFont="0" applyFill="0" applyBorder="0" applyAlignment="0" applyProtection="0"/>
    <xf numFmtId="41" fontId="87" fillId="0" borderId="0" applyFont="0" applyFill="0" applyBorder="0" applyAlignment="0" applyProtection="0"/>
    <xf numFmtId="41" fontId="87" fillId="0" borderId="0" applyFont="0" applyFill="0" applyBorder="0" applyAlignment="0" applyProtection="0"/>
    <xf numFmtId="41" fontId="87" fillId="0" borderId="0" applyFont="0" applyFill="0" applyBorder="0" applyAlignment="0" applyProtection="0"/>
    <xf numFmtId="41" fontId="87" fillId="0" borderId="0" applyFont="0" applyFill="0" applyBorder="0" applyAlignment="0" applyProtection="0"/>
    <xf numFmtId="41" fontId="87" fillId="0" borderId="0" applyFont="0" applyFill="0" applyBorder="0" applyAlignment="0" applyProtection="0"/>
    <xf numFmtId="41" fontId="87" fillId="0" borderId="0" applyFont="0" applyFill="0" applyBorder="0" applyAlignment="0" applyProtection="0"/>
    <xf numFmtId="41" fontId="87" fillId="0" borderId="0" applyFont="0" applyFill="0" applyBorder="0" applyAlignment="0" applyProtection="0"/>
    <xf numFmtId="41" fontId="87" fillId="0" borderId="0" applyFont="0" applyFill="0" applyBorder="0" applyAlignment="0" applyProtection="0"/>
    <xf numFmtId="41" fontId="87" fillId="0" borderId="0" applyFont="0" applyFill="0" applyBorder="0" applyAlignment="0" applyProtection="0"/>
    <xf numFmtId="41" fontId="87" fillId="0" borderId="0" applyFont="0" applyFill="0" applyBorder="0" applyAlignment="0" applyProtection="0"/>
    <xf numFmtId="41" fontId="87" fillId="0" borderId="0" applyFont="0" applyFill="0" applyBorder="0" applyAlignment="0" applyProtection="0"/>
    <xf numFmtId="41" fontId="87" fillId="0" borderId="0" applyFont="0" applyFill="0" applyBorder="0" applyAlignment="0" applyProtection="0"/>
    <xf numFmtId="41" fontId="87" fillId="0" borderId="0" applyFont="0" applyFill="0" applyBorder="0" applyAlignment="0" applyProtection="0"/>
    <xf numFmtId="41" fontId="87" fillId="0" borderId="0" applyFont="0" applyFill="0" applyBorder="0" applyAlignment="0" applyProtection="0"/>
    <xf numFmtId="41" fontId="87" fillId="0" borderId="0" applyFont="0" applyFill="0" applyBorder="0" applyAlignment="0" applyProtection="0"/>
    <xf numFmtId="41" fontId="87" fillId="0" borderId="0" applyFont="0" applyFill="0" applyBorder="0" applyAlignment="0" applyProtection="0"/>
    <xf numFmtId="41" fontId="87" fillId="0" borderId="0" applyFont="0" applyFill="0" applyBorder="0" applyAlignment="0" applyProtection="0"/>
    <xf numFmtId="41" fontId="87" fillId="0" borderId="0" applyFont="0" applyFill="0" applyBorder="0" applyAlignment="0" applyProtection="0"/>
    <xf numFmtId="41" fontId="87" fillId="0" borderId="0" applyFont="0" applyFill="0" applyBorder="0" applyAlignment="0" applyProtection="0"/>
    <xf numFmtId="41" fontId="87" fillId="0" borderId="0" applyFont="0" applyFill="0" applyBorder="0" applyAlignment="0" applyProtection="0"/>
    <xf numFmtId="41" fontId="87" fillId="0" borderId="0" applyFont="0" applyFill="0" applyBorder="0" applyAlignment="0" applyProtection="0"/>
    <xf numFmtId="41" fontId="87" fillId="0" borderId="0" applyFont="0" applyFill="0" applyBorder="0" applyAlignment="0" applyProtection="0"/>
    <xf numFmtId="41" fontId="87" fillId="0" borderId="0" applyFont="0" applyFill="0" applyBorder="0" applyAlignment="0" applyProtection="0"/>
    <xf numFmtId="41" fontId="87" fillId="0" borderId="0" applyFont="0" applyFill="0" applyBorder="0" applyAlignment="0" applyProtection="0"/>
    <xf numFmtId="41" fontId="87" fillId="0" borderId="0" applyFont="0" applyFill="0" applyBorder="0" applyAlignment="0" applyProtection="0"/>
    <xf numFmtId="178" fontId="12" fillId="0" borderId="0" applyFont="0" applyFill="0" applyBorder="0" applyAlignment="0" applyProtection="0"/>
    <xf numFmtId="41" fontId="87" fillId="0" borderId="0" applyFont="0" applyFill="0" applyBorder="0" applyAlignment="0" applyProtection="0"/>
    <xf numFmtId="41" fontId="87" fillId="0" borderId="0" applyFont="0" applyFill="0" applyBorder="0" applyAlignment="0" applyProtection="0"/>
    <xf numFmtId="169" fontId="12" fillId="0" borderId="0" applyFont="0" applyFill="0" applyBorder="0" applyAlignment="0" applyProtection="0"/>
    <xf numFmtId="41" fontId="87" fillId="0" borderId="0" applyFont="0" applyFill="0" applyBorder="0" applyAlignment="0" applyProtection="0"/>
    <xf numFmtId="41" fontId="87" fillId="0" borderId="0" applyFont="0" applyFill="0" applyBorder="0" applyAlignment="0" applyProtection="0"/>
    <xf numFmtId="41" fontId="92" fillId="0" borderId="0" applyFont="0" applyFill="0" applyBorder="0" applyAlignment="0" applyProtection="0"/>
    <xf numFmtId="41" fontId="87" fillId="0" borderId="0" applyFont="0" applyFill="0" applyBorder="0" applyAlignment="0" applyProtection="0"/>
    <xf numFmtId="41" fontId="87" fillId="0" borderId="0" applyFont="0" applyFill="0" applyBorder="0" applyAlignment="0" applyProtection="0"/>
    <xf numFmtId="41" fontId="87" fillId="0" borderId="0" applyFont="0" applyFill="0" applyBorder="0" applyAlignment="0" applyProtection="0"/>
    <xf numFmtId="41" fontId="87" fillId="0" borderId="0" applyFont="0" applyFill="0" applyBorder="0" applyAlignment="0" applyProtection="0"/>
    <xf numFmtId="41" fontId="87" fillId="0" borderId="0" applyFont="0" applyFill="0" applyBorder="0" applyAlignment="0" applyProtection="0"/>
    <xf numFmtId="41" fontId="87" fillId="0" borderId="0" applyFont="0" applyFill="0" applyBorder="0" applyAlignment="0" applyProtection="0"/>
    <xf numFmtId="41" fontId="87" fillId="0" borderId="0" applyFont="0" applyFill="0" applyBorder="0" applyAlignment="0" applyProtection="0"/>
    <xf numFmtId="41" fontId="87" fillId="0" borderId="0" applyFont="0" applyFill="0" applyBorder="0" applyAlignment="0" applyProtection="0"/>
    <xf numFmtId="41" fontId="87" fillId="0" borderId="0" applyFont="0" applyFill="0" applyBorder="0" applyAlignment="0" applyProtection="0"/>
    <xf numFmtId="41" fontId="87" fillId="0" borderId="0" applyFont="0" applyFill="0" applyBorder="0" applyAlignment="0" applyProtection="0"/>
    <xf numFmtId="41" fontId="87" fillId="0" borderId="0" applyFont="0" applyFill="0" applyBorder="0" applyAlignment="0" applyProtection="0"/>
    <xf numFmtId="41" fontId="87" fillId="0" borderId="0" applyFont="0" applyFill="0" applyBorder="0" applyAlignment="0" applyProtection="0"/>
    <xf numFmtId="41" fontId="87" fillId="0" borderId="0" applyFont="0" applyFill="0" applyBorder="0" applyAlignment="0" applyProtection="0"/>
    <xf numFmtId="41" fontId="87" fillId="0" borderId="0" applyFont="0" applyFill="0" applyBorder="0" applyAlignment="0" applyProtection="0"/>
    <xf numFmtId="41" fontId="87" fillId="0" borderId="0" applyFont="0" applyFill="0" applyBorder="0" applyAlignment="0" applyProtection="0"/>
    <xf numFmtId="41" fontId="87" fillId="0" borderId="0" applyFont="0" applyFill="0" applyBorder="0" applyAlignment="0" applyProtection="0"/>
    <xf numFmtId="41" fontId="87" fillId="0" borderId="0" applyFont="0" applyFill="0" applyBorder="0" applyAlignment="0" applyProtection="0"/>
    <xf numFmtId="41" fontId="87" fillId="0" borderId="0" applyFont="0" applyFill="0" applyBorder="0" applyAlignment="0" applyProtection="0"/>
    <xf numFmtId="41" fontId="87" fillId="0" borderId="0" applyFont="0" applyFill="0" applyBorder="0" applyAlignment="0" applyProtection="0"/>
    <xf numFmtId="41" fontId="87" fillId="0" borderId="0" applyFont="0" applyFill="0" applyBorder="0" applyAlignment="0" applyProtection="0"/>
    <xf numFmtId="41" fontId="87" fillId="0" borderId="0" applyFont="0" applyFill="0" applyBorder="0" applyAlignment="0" applyProtection="0"/>
    <xf numFmtId="41" fontId="87" fillId="0" borderId="0" applyFont="0" applyFill="0" applyBorder="0" applyAlignment="0" applyProtection="0"/>
    <xf numFmtId="41" fontId="87" fillId="0" borderId="0" applyFont="0" applyFill="0" applyBorder="0" applyAlignment="0" applyProtection="0"/>
    <xf numFmtId="41" fontId="87" fillId="0" borderId="0" applyFont="0" applyFill="0" applyBorder="0" applyAlignment="0" applyProtection="0"/>
    <xf numFmtId="178" fontId="12" fillId="0" borderId="0" applyFont="0" applyFill="0" applyBorder="0" applyAlignment="0" applyProtection="0"/>
    <xf numFmtId="41" fontId="92" fillId="0" borderId="0" applyFont="0" applyFill="0" applyBorder="0" applyAlignment="0" applyProtection="0"/>
    <xf numFmtId="167" fontId="92" fillId="0" borderId="0" applyFont="0" applyFill="0" applyBorder="0" applyAlignment="0" applyProtection="0"/>
    <xf numFmtId="167" fontId="92" fillId="0" borderId="0" applyFont="0" applyFill="0" applyBorder="0" applyAlignment="0" applyProtection="0"/>
    <xf numFmtId="41" fontId="92" fillId="0" borderId="0" applyFont="0" applyFill="0" applyBorder="0" applyAlignment="0" applyProtection="0"/>
    <xf numFmtId="41" fontId="90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75" fontId="92" fillId="0" borderId="0" applyFont="0" applyFill="0" applyBorder="0" applyAlignment="0" applyProtection="0"/>
    <xf numFmtId="175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87" fillId="0" borderId="0" applyFont="0" applyFill="0" applyBorder="0" applyAlignment="0" applyProtection="0"/>
    <xf numFmtId="43" fontId="87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7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7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79" fontId="92" fillId="0" borderId="0" applyFont="0" applyFill="0" applyBorder="0" applyAlignment="0" applyProtection="0"/>
    <xf numFmtId="179" fontId="92" fillId="0" borderId="0" applyFont="0" applyFill="0" applyBorder="0" applyAlignment="0" applyProtection="0"/>
    <xf numFmtId="179" fontId="92" fillId="0" borderId="0" applyFont="0" applyFill="0" applyBorder="0" applyAlignment="0" applyProtection="0"/>
    <xf numFmtId="17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36" fillId="0" borderId="0"/>
    <xf numFmtId="43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36" fillId="0" borderId="0"/>
    <xf numFmtId="43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36" fillId="0" borderId="0"/>
    <xf numFmtId="43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7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7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79" fontId="92" fillId="0" borderId="0" applyFont="0" applyFill="0" applyBorder="0" applyAlignment="0" applyProtection="0"/>
    <xf numFmtId="43" fontId="89" fillId="0" borderId="0" applyFont="0" applyFill="0" applyBorder="0" applyAlignment="0" applyProtection="0">
      <alignment vertical="top"/>
    </xf>
    <xf numFmtId="179" fontId="9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8" fillId="0" borderId="0" applyFont="0" applyFill="0" applyBorder="0" applyAlignment="0" applyProtection="0"/>
    <xf numFmtId="179" fontId="2" fillId="0" borderId="0" applyFont="0" applyFill="0" applyBorder="0" applyAlignment="0" applyProtection="0"/>
    <xf numFmtId="0" fontId="92" fillId="0" borderId="0"/>
    <xf numFmtId="0" fontId="92" fillId="0" borderId="0"/>
    <xf numFmtId="43" fontId="92" fillId="0" borderId="0" applyFont="0" applyFill="0" applyBorder="0" applyAlignment="0" applyProtection="0"/>
    <xf numFmtId="176" fontId="92" fillId="0" borderId="0" applyFont="0" applyFill="0" applyBorder="0" applyAlignment="0" applyProtection="0"/>
    <xf numFmtId="176" fontId="92" fillId="0" borderId="0" applyFont="0" applyFill="0" applyBorder="0" applyAlignment="0" applyProtection="0"/>
    <xf numFmtId="176" fontId="92" fillId="0" borderId="0" applyFont="0" applyFill="0" applyBorder="0" applyAlignment="0" applyProtection="0"/>
    <xf numFmtId="176" fontId="92" fillId="0" borderId="0" applyFont="0" applyFill="0" applyBorder="0" applyAlignment="0" applyProtection="0"/>
    <xf numFmtId="176" fontId="92" fillId="0" borderId="0" applyFont="0" applyFill="0" applyBorder="0" applyAlignment="0" applyProtection="0"/>
    <xf numFmtId="176" fontId="92" fillId="0" borderId="0" applyFont="0" applyFill="0" applyBorder="0" applyAlignment="0" applyProtection="0"/>
    <xf numFmtId="176" fontId="92" fillId="0" borderId="0" applyFont="0" applyFill="0" applyBorder="0" applyAlignment="0" applyProtection="0"/>
    <xf numFmtId="176" fontId="92" fillId="0" borderId="0" applyFont="0" applyFill="0" applyBorder="0" applyAlignment="0" applyProtection="0"/>
    <xf numFmtId="176" fontId="92" fillId="0" borderId="0" applyFont="0" applyFill="0" applyBorder="0" applyAlignment="0" applyProtection="0"/>
    <xf numFmtId="176" fontId="92" fillId="0" borderId="0" applyFont="0" applyFill="0" applyBorder="0" applyAlignment="0" applyProtection="0"/>
    <xf numFmtId="176" fontId="92" fillId="0" borderId="0" applyFont="0" applyFill="0" applyBorder="0" applyAlignment="0" applyProtection="0"/>
    <xf numFmtId="176" fontId="92" fillId="0" borderId="0" applyFont="0" applyFill="0" applyBorder="0" applyAlignment="0" applyProtection="0"/>
    <xf numFmtId="176" fontId="92" fillId="0" borderId="0" applyFont="0" applyFill="0" applyBorder="0" applyAlignment="0" applyProtection="0"/>
    <xf numFmtId="176" fontId="92" fillId="0" borderId="0" applyFont="0" applyFill="0" applyBorder="0" applyAlignment="0" applyProtection="0"/>
    <xf numFmtId="176" fontId="92" fillId="0" borderId="0" applyFont="0" applyFill="0" applyBorder="0" applyAlignment="0" applyProtection="0"/>
    <xf numFmtId="176" fontId="92" fillId="0" borderId="0" applyFont="0" applyFill="0" applyBorder="0" applyAlignment="0" applyProtection="0"/>
    <xf numFmtId="176" fontId="92" fillId="0" borderId="0" applyFont="0" applyFill="0" applyBorder="0" applyAlignment="0" applyProtection="0"/>
    <xf numFmtId="176" fontId="92" fillId="0" borderId="0" applyFont="0" applyFill="0" applyBorder="0" applyAlignment="0" applyProtection="0"/>
    <xf numFmtId="176" fontId="92" fillId="0" borderId="0" applyFont="0" applyFill="0" applyBorder="0" applyAlignment="0" applyProtection="0"/>
    <xf numFmtId="176" fontId="92" fillId="0" borderId="0" applyFont="0" applyFill="0" applyBorder="0" applyAlignment="0" applyProtection="0"/>
    <xf numFmtId="176" fontId="92" fillId="0" borderId="0" applyFont="0" applyFill="0" applyBorder="0" applyAlignment="0" applyProtection="0"/>
    <xf numFmtId="176" fontId="92" fillId="0" borderId="0" applyFont="0" applyFill="0" applyBorder="0" applyAlignment="0" applyProtection="0"/>
    <xf numFmtId="176" fontId="92" fillId="0" borderId="0" applyFont="0" applyFill="0" applyBorder="0" applyAlignment="0" applyProtection="0"/>
    <xf numFmtId="176" fontId="92" fillId="0" borderId="0" applyFont="0" applyFill="0" applyBorder="0" applyAlignment="0" applyProtection="0"/>
    <xf numFmtId="176" fontId="92" fillId="0" borderId="0" applyFont="0" applyFill="0" applyBorder="0" applyAlignment="0" applyProtection="0"/>
    <xf numFmtId="176" fontId="92" fillId="0" borderId="0" applyFont="0" applyFill="0" applyBorder="0" applyAlignment="0" applyProtection="0"/>
    <xf numFmtId="176" fontId="92" fillId="0" borderId="0" applyFont="0" applyFill="0" applyBorder="0" applyAlignment="0" applyProtection="0"/>
    <xf numFmtId="176" fontId="92" fillId="0" borderId="0" applyFont="0" applyFill="0" applyBorder="0" applyAlignment="0" applyProtection="0"/>
    <xf numFmtId="176" fontId="92" fillId="0" borderId="0" applyFont="0" applyFill="0" applyBorder="0" applyAlignment="0" applyProtection="0"/>
    <xf numFmtId="176" fontId="92" fillId="0" borderId="0" applyFont="0" applyFill="0" applyBorder="0" applyAlignment="0" applyProtection="0"/>
    <xf numFmtId="176" fontId="92" fillId="0" borderId="0" applyFont="0" applyFill="0" applyBorder="0" applyAlignment="0" applyProtection="0"/>
    <xf numFmtId="176" fontId="92" fillId="0" borderId="0" applyFont="0" applyFill="0" applyBorder="0" applyAlignment="0" applyProtection="0"/>
    <xf numFmtId="176" fontId="92" fillId="0" borderId="0" applyFont="0" applyFill="0" applyBorder="0" applyAlignment="0" applyProtection="0"/>
    <xf numFmtId="176" fontId="92" fillId="0" borderId="0" applyFont="0" applyFill="0" applyBorder="0" applyAlignment="0" applyProtection="0"/>
    <xf numFmtId="176" fontId="92" fillId="0" borderId="0" applyFont="0" applyFill="0" applyBorder="0" applyAlignment="0" applyProtection="0"/>
    <xf numFmtId="176" fontId="92" fillId="0" borderId="0" applyFont="0" applyFill="0" applyBorder="0" applyAlignment="0" applyProtection="0"/>
    <xf numFmtId="176" fontId="92" fillId="0" borderId="0" applyFont="0" applyFill="0" applyBorder="0" applyAlignment="0" applyProtection="0"/>
    <xf numFmtId="176" fontId="92" fillId="0" borderId="0" applyFont="0" applyFill="0" applyBorder="0" applyAlignment="0" applyProtection="0"/>
    <xf numFmtId="176" fontId="92" fillId="0" borderId="0" applyFont="0" applyFill="0" applyBorder="0" applyAlignment="0" applyProtection="0"/>
    <xf numFmtId="176" fontId="92" fillId="0" borderId="0" applyFont="0" applyFill="0" applyBorder="0" applyAlignment="0" applyProtection="0"/>
    <xf numFmtId="176" fontId="92" fillId="0" borderId="0" applyFont="0" applyFill="0" applyBorder="0" applyAlignment="0" applyProtection="0"/>
    <xf numFmtId="176" fontId="92" fillId="0" borderId="0" applyFont="0" applyFill="0" applyBorder="0" applyAlignment="0" applyProtection="0"/>
    <xf numFmtId="176" fontId="92" fillId="0" borderId="0" applyFont="0" applyFill="0" applyBorder="0" applyAlignment="0" applyProtection="0"/>
    <xf numFmtId="176" fontId="92" fillId="0" borderId="0" applyFont="0" applyFill="0" applyBorder="0" applyAlignment="0" applyProtection="0"/>
    <xf numFmtId="176" fontId="92" fillId="0" borderId="0" applyFont="0" applyFill="0" applyBorder="0" applyAlignment="0" applyProtection="0"/>
    <xf numFmtId="176" fontId="92" fillId="0" borderId="0" applyFont="0" applyFill="0" applyBorder="0" applyAlignment="0" applyProtection="0"/>
    <xf numFmtId="176" fontId="92" fillId="0" borderId="0" applyFont="0" applyFill="0" applyBorder="0" applyAlignment="0" applyProtection="0"/>
    <xf numFmtId="176" fontId="92" fillId="0" borderId="0" applyFont="0" applyFill="0" applyBorder="0" applyAlignment="0" applyProtection="0"/>
    <xf numFmtId="176" fontId="92" fillId="0" borderId="0" applyFont="0" applyFill="0" applyBorder="0" applyAlignment="0" applyProtection="0"/>
    <xf numFmtId="176" fontId="92" fillId="0" borderId="0" applyFont="0" applyFill="0" applyBorder="0" applyAlignment="0" applyProtection="0"/>
    <xf numFmtId="176" fontId="92" fillId="0" borderId="0" applyFont="0" applyFill="0" applyBorder="0" applyAlignment="0" applyProtection="0"/>
    <xf numFmtId="176" fontId="92" fillId="0" borderId="0" applyFont="0" applyFill="0" applyBorder="0" applyAlignment="0" applyProtection="0"/>
    <xf numFmtId="176" fontId="92" fillId="0" borderId="0" applyFont="0" applyFill="0" applyBorder="0" applyAlignment="0" applyProtection="0"/>
    <xf numFmtId="176" fontId="92" fillId="0" borderId="0" applyFont="0" applyFill="0" applyBorder="0" applyAlignment="0" applyProtection="0"/>
    <xf numFmtId="176" fontId="92" fillId="0" borderId="0" applyFont="0" applyFill="0" applyBorder="0" applyAlignment="0" applyProtection="0"/>
    <xf numFmtId="176" fontId="92" fillId="0" borderId="0" applyFont="0" applyFill="0" applyBorder="0" applyAlignment="0" applyProtection="0"/>
    <xf numFmtId="176" fontId="92" fillId="0" borderId="0" applyFont="0" applyFill="0" applyBorder="0" applyAlignment="0" applyProtection="0"/>
    <xf numFmtId="176" fontId="92" fillId="0" borderId="0" applyFont="0" applyFill="0" applyBorder="0" applyAlignment="0" applyProtection="0"/>
    <xf numFmtId="176" fontId="92" fillId="0" borderId="0" applyFont="0" applyFill="0" applyBorder="0" applyAlignment="0" applyProtection="0"/>
    <xf numFmtId="176" fontId="92" fillId="0" borderId="0" applyFont="0" applyFill="0" applyBorder="0" applyAlignment="0" applyProtection="0"/>
    <xf numFmtId="176" fontId="92" fillId="0" borderId="0" applyFont="0" applyFill="0" applyBorder="0" applyAlignment="0" applyProtection="0"/>
    <xf numFmtId="176" fontId="92" fillId="0" borderId="0" applyFont="0" applyFill="0" applyBorder="0" applyAlignment="0" applyProtection="0"/>
    <xf numFmtId="176" fontId="92" fillId="0" borderId="0" applyFont="0" applyFill="0" applyBorder="0" applyAlignment="0" applyProtection="0"/>
    <xf numFmtId="176" fontId="92" fillId="0" borderId="0" applyFont="0" applyFill="0" applyBorder="0" applyAlignment="0" applyProtection="0"/>
    <xf numFmtId="176" fontId="92" fillId="0" borderId="0" applyFont="0" applyFill="0" applyBorder="0" applyAlignment="0" applyProtection="0"/>
    <xf numFmtId="176" fontId="92" fillId="0" borderId="0" applyFont="0" applyFill="0" applyBorder="0" applyAlignment="0" applyProtection="0"/>
    <xf numFmtId="176" fontId="92" fillId="0" borderId="0" applyFont="0" applyFill="0" applyBorder="0" applyAlignment="0" applyProtection="0"/>
    <xf numFmtId="176" fontId="92" fillId="0" borderId="0" applyFont="0" applyFill="0" applyBorder="0" applyAlignment="0" applyProtection="0"/>
    <xf numFmtId="176" fontId="92" fillId="0" borderId="0" applyFont="0" applyFill="0" applyBorder="0" applyAlignment="0" applyProtection="0"/>
    <xf numFmtId="176" fontId="92" fillId="0" borderId="0" applyFont="0" applyFill="0" applyBorder="0" applyAlignment="0" applyProtection="0"/>
    <xf numFmtId="176" fontId="92" fillId="0" borderId="0" applyFont="0" applyFill="0" applyBorder="0" applyAlignment="0" applyProtection="0"/>
    <xf numFmtId="176" fontId="92" fillId="0" borderId="0" applyFont="0" applyFill="0" applyBorder="0" applyAlignment="0" applyProtection="0"/>
    <xf numFmtId="176" fontId="92" fillId="0" borderId="0" applyFont="0" applyFill="0" applyBorder="0" applyAlignment="0" applyProtection="0"/>
    <xf numFmtId="176" fontId="92" fillId="0" borderId="0" applyFont="0" applyFill="0" applyBorder="0" applyAlignment="0" applyProtection="0"/>
    <xf numFmtId="176" fontId="92" fillId="0" borderId="0" applyFont="0" applyFill="0" applyBorder="0" applyAlignment="0" applyProtection="0"/>
    <xf numFmtId="176" fontId="92" fillId="0" borderId="0" applyFont="0" applyFill="0" applyBorder="0" applyAlignment="0" applyProtection="0"/>
    <xf numFmtId="176" fontId="92" fillId="0" borderId="0" applyFont="0" applyFill="0" applyBorder="0" applyAlignment="0" applyProtection="0"/>
    <xf numFmtId="176" fontId="92" fillId="0" borderId="0" applyFont="0" applyFill="0" applyBorder="0" applyAlignment="0" applyProtection="0"/>
    <xf numFmtId="176" fontId="92" fillId="0" borderId="0" applyFont="0" applyFill="0" applyBorder="0" applyAlignment="0" applyProtection="0"/>
    <xf numFmtId="176" fontId="92" fillId="0" borderId="0" applyFont="0" applyFill="0" applyBorder="0" applyAlignment="0" applyProtection="0"/>
    <xf numFmtId="176" fontId="92" fillId="0" borderId="0" applyFont="0" applyFill="0" applyBorder="0" applyAlignment="0" applyProtection="0"/>
    <xf numFmtId="176" fontId="92" fillId="0" borderId="0" applyFont="0" applyFill="0" applyBorder="0" applyAlignment="0" applyProtection="0"/>
    <xf numFmtId="176" fontId="92" fillId="0" borderId="0" applyFont="0" applyFill="0" applyBorder="0" applyAlignment="0" applyProtection="0"/>
    <xf numFmtId="176" fontId="92" fillId="0" borderId="0" applyFont="0" applyFill="0" applyBorder="0" applyAlignment="0" applyProtection="0"/>
    <xf numFmtId="179" fontId="8" fillId="0" borderId="0" applyFont="0" applyFill="0" applyBorder="0" applyAlignment="0" applyProtection="0"/>
    <xf numFmtId="176" fontId="92" fillId="0" borderId="0" applyFont="0" applyFill="0" applyBorder="0" applyAlignment="0" applyProtection="0"/>
    <xf numFmtId="0" fontId="92" fillId="0" borderId="0"/>
    <xf numFmtId="0" fontId="92" fillId="0" borderId="0"/>
    <xf numFmtId="179" fontId="36" fillId="0" borderId="0" applyFont="0" applyFill="0" applyBorder="0" applyAlignment="0" applyProtection="0"/>
    <xf numFmtId="43" fontId="87" fillId="0" borderId="0" applyFont="0" applyFill="0" applyBorder="0" applyAlignment="0" applyProtection="0"/>
    <xf numFmtId="43" fontId="87" fillId="0" borderId="0" applyFont="0" applyFill="0" applyBorder="0" applyAlignment="0" applyProtection="0"/>
    <xf numFmtId="43" fontId="87" fillId="0" borderId="0" applyFont="0" applyFill="0" applyBorder="0" applyAlignment="0" applyProtection="0"/>
    <xf numFmtId="43" fontId="87" fillId="0" borderId="0" applyFont="0" applyFill="0" applyBorder="0" applyAlignment="0" applyProtection="0"/>
    <xf numFmtId="43" fontId="87" fillId="0" borderId="0" applyFont="0" applyFill="0" applyBorder="0" applyAlignment="0" applyProtection="0"/>
    <xf numFmtId="43" fontId="87" fillId="0" borderId="0" applyFont="0" applyFill="0" applyBorder="0" applyAlignment="0" applyProtection="0"/>
    <xf numFmtId="43" fontId="87" fillId="0" borderId="0" applyFont="0" applyFill="0" applyBorder="0" applyAlignment="0" applyProtection="0"/>
    <xf numFmtId="43" fontId="87" fillId="0" borderId="0" applyFont="0" applyFill="0" applyBorder="0" applyAlignment="0" applyProtection="0"/>
    <xf numFmtId="43" fontId="87" fillId="0" borderId="0" applyFont="0" applyFill="0" applyBorder="0" applyAlignment="0" applyProtection="0"/>
    <xf numFmtId="43" fontId="87" fillId="0" borderId="0" applyFont="0" applyFill="0" applyBorder="0" applyAlignment="0" applyProtection="0"/>
    <xf numFmtId="43" fontId="87" fillId="0" borderId="0" applyFont="0" applyFill="0" applyBorder="0" applyAlignment="0" applyProtection="0"/>
    <xf numFmtId="43" fontId="87" fillId="0" borderId="0" applyFont="0" applyFill="0" applyBorder="0" applyAlignment="0" applyProtection="0"/>
    <xf numFmtId="43" fontId="87" fillId="0" borderId="0" applyFont="0" applyFill="0" applyBorder="0" applyAlignment="0" applyProtection="0"/>
    <xf numFmtId="43" fontId="87" fillId="0" borderId="0" applyFont="0" applyFill="0" applyBorder="0" applyAlignment="0" applyProtection="0"/>
    <xf numFmtId="43" fontId="87" fillId="0" borderId="0" applyFont="0" applyFill="0" applyBorder="0" applyAlignment="0" applyProtection="0"/>
    <xf numFmtId="43" fontId="87" fillId="0" borderId="0" applyFont="0" applyFill="0" applyBorder="0" applyAlignment="0" applyProtection="0"/>
    <xf numFmtId="43" fontId="87" fillId="0" borderId="0" applyFont="0" applyFill="0" applyBorder="0" applyAlignment="0" applyProtection="0"/>
    <xf numFmtId="43" fontId="87" fillId="0" borderId="0" applyFont="0" applyFill="0" applyBorder="0" applyAlignment="0" applyProtection="0"/>
    <xf numFmtId="43" fontId="87" fillId="0" borderId="0" applyFont="0" applyFill="0" applyBorder="0" applyAlignment="0" applyProtection="0"/>
    <xf numFmtId="43" fontId="87" fillId="0" borderId="0" applyFont="0" applyFill="0" applyBorder="0" applyAlignment="0" applyProtection="0"/>
    <xf numFmtId="43" fontId="87" fillId="0" borderId="0" applyFont="0" applyFill="0" applyBorder="0" applyAlignment="0" applyProtection="0"/>
    <xf numFmtId="43" fontId="87" fillId="0" borderId="0" applyFont="0" applyFill="0" applyBorder="0" applyAlignment="0" applyProtection="0"/>
    <xf numFmtId="43" fontId="87" fillId="0" borderId="0" applyFont="0" applyFill="0" applyBorder="0" applyAlignment="0" applyProtection="0"/>
    <xf numFmtId="43" fontId="87" fillId="0" borderId="0" applyFont="0" applyFill="0" applyBorder="0" applyAlignment="0" applyProtection="0"/>
    <xf numFmtId="43" fontId="87" fillId="0" borderId="0" applyFont="0" applyFill="0" applyBorder="0" applyAlignment="0" applyProtection="0"/>
    <xf numFmtId="43" fontId="87" fillId="0" borderId="0" applyFont="0" applyFill="0" applyBorder="0" applyAlignment="0" applyProtection="0"/>
    <xf numFmtId="43" fontId="87" fillId="0" borderId="0" applyFont="0" applyFill="0" applyBorder="0" applyAlignment="0" applyProtection="0"/>
    <xf numFmtId="43" fontId="87" fillId="0" borderId="0" applyFont="0" applyFill="0" applyBorder="0" applyAlignment="0" applyProtection="0"/>
    <xf numFmtId="43" fontId="87" fillId="0" borderId="0" applyFont="0" applyFill="0" applyBorder="0" applyAlignment="0" applyProtection="0"/>
    <xf numFmtId="43" fontId="87" fillId="0" borderId="0" applyFont="0" applyFill="0" applyBorder="0" applyAlignment="0" applyProtection="0"/>
    <xf numFmtId="43" fontId="87" fillId="0" borderId="0" applyFont="0" applyFill="0" applyBorder="0" applyAlignment="0" applyProtection="0"/>
    <xf numFmtId="43" fontId="87" fillId="0" borderId="0" applyFont="0" applyFill="0" applyBorder="0" applyAlignment="0" applyProtection="0"/>
    <xf numFmtId="43" fontId="87" fillId="0" borderId="0" applyFont="0" applyFill="0" applyBorder="0" applyAlignment="0" applyProtection="0"/>
    <xf numFmtId="43" fontId="87" fillId="0" borderId="0" applyFont="0" applyFill="0" applyBorder="0" applyAlignment="0" applyProtection="0"/>
    <xf numFmtId="43" fontId="87" fillId="0" borderId="0" applyFont="0" applyFill="0" applyBorder="0" applyAlignment="0" applyProtection="0"/>
    <xf numFmtId="43" fontId="87" fillId="0" borderId="0" applyFont="0" applyFill="0" applyBorder="0" applyAlignment="0" applyProtection="0"/>
    <xf numFmtId="43" fontId="87" fillId="0" borderId="0" applyFont="0" applyFill="0" applyBorder="0" applyAlignment="0" applyProtection="0"/>
    <xf numFmtId="43" fontId="87" fillId="0" borderId="0" applyFont="0" applyFill="0" applyBorder="0" applyAlignment="0" applyProtection="0"/>
    <xf numFmtId="43" fontId="87" fillId="0" borderId="0" applyFont="0" applyFill="0" applyBorder="0" applyAlignment="0" applyProtection="0"/>
    <xf numFmtId="43" fontId="87" fillId="0" borderId="0" applyFont="0" applyFill="0" applyBorder="0" applyAlignment="0" applyProtection="0"/>
    <xf numFmtId="43" fontId="87" fillId="0" borderId="0" applyFont="0" applyFill="0" applyBorder="0" applyAlignment="0" applyProtection="0"/>
    <xf numFmtId="43" fontId="87" fillId="0" borderId="0" applyFont="0" applyFill="0" applyBorder="0" applyAlignment="0" applyProtection="0"/>
    <xf numFmtId="43" fontId="87" fillId="0" borderId="0" applyFont="0" applyFill="0" applyBorder="0" applyAlignment="0" applyProtection="0"/>
    <xf numFmtId="43" fontId="87" fillId="0" borderId="0" applyFont="0" applyFill="0" applyBorder="0" applyAlignment="0" applyProtection="0"/>
    <xf numFmtId="43" fontId="87" fillId="0" borderId="0" applyFont="0" applyFill="0" applyBorder="0" applyAlignment="0" applyProtection="0"/>
    <xf numFmtId="43" fontId="87" fillId="0" borderId="0" applyFont="0" applyFill="0" applyBorder="0" applyAlignment="0" applyProtection="0"/>
    <xf numFmtId="43" fontId="87" fillId="0" borderId="0" applyFont="0" applyFill="0" applyBorder="0" applyAlignment="0" applyProtection="0"/>
    <xf numFmtId="43" fontId="87" fillId="0" borderId="0" applyFont="0" applyFill="0" applyBorder="0" applyAlignment="0" applyProtection="0"/>
    <xf numFmtId="43" fontId="87" fillId="0" borderId="0" applyFont="0" applyFill="0" applyBorder="0" applyAlignment="0" applyProtection="0"/>
    <xf numFmtId="43" fontId="87" fillId="0" borderId="0" applyFont="0" applyFill="0" applyBorder="0" applyAlignment="0" applyProtection="0"/>
    <xf numFmtId="43" fontId="87" fillId="0" borderId="0" applyFont="0" applyFill="0" applyBorder="0" applyAlignment="0" applyProtection="0"/>
    <xf numFmtId="43" fontId="87" fillId="0" borderId="0" applyFont="0" applyFill="0" applyBorder="0" applyAlignment="0" applyProtection="0"/>
    <xf numFmtId="43" fontId="87" fillId="0" borderId="0" applyFont="0" applyFill="0" applyBorder="0" applyAlignment="0" applyProtection="0"/>
    <xf numFmtId="43" fontId="87" fillId="0" borderId="0" applyFont="0" applyFill="0" applyBorder="0" applyAlignment="0" applyProtection="0"/>
    <xf numFmtId="43" fontId="87" fillId="0" borderId="0" applyFont="0" applyFill="0" applyBorder="0" applyAlignment="0" applyProtection="0"/>
    <xf numFmtId="43" fontId="87" fillId="0" borderId="0" applyFont="0" applyFill="0" applyBorder="0" applyAlignment="0" applyProtection="0"/>
    <xf numFmtId="43" fontId="87" fillId="0" borderId="0" applyFont="0" applyFill="0" applyBorder="0" applyAlignment="0" applyProtection="0"/>
    <xf numFmtId="43" fontId="87" fillId="0" borderId="0" applyFont="0" applyFill="0" applyBorder="0" applyAlignment="0" applyProtection="0"/>
    <xf numFmtId="43" fontId="87" fillId="0" borderId="0" applyFont="0" applyFill="0" applyBorder="0" applyAlignment="0" applyProtection="0"/>
    <xf numFmtId="43" fontId="87" fillId="0" borderId="0" applyFont="0" applyFill="0" applyBorder="0" applyAlignment="0" applyProtection="0"/>
    <xf numFmtId="43" fontId="87" fillId="0" borderId="0" applyFont="0" applyFill="0" applyBorder="0" applyAlignment="0" applyProtection="0"/>
    <xf numFmtId="43" fontId="87" fillId="0" borderId="0" applyFont="0" applyFill="0" applyBorder="0" applyAlignment="0" applyProtection="0"/>
    <xf numFmtId="43" fontId="87" fillId="0" borderId="0" applyFont="0" applyFill="0" applyBorder="0" applyAlignment="0" applyProtection="0"/>
    <xf numFmtId="43" fontId="87" fillId="0" borderId="0" applyFont="0" applyFill="0" applyBorder="0" applyAlignment="0" applyProtection="0"/>
    <xf numFmtId="43" fontId="87" fillId="0" borderId="0" applyFont="0" applyFill="0" applyBorder="0" applyAlignment="0" applyProtection="0"/>
    <xf numFmtId="43" fontId="87" fillId="0" borderId="0" applyFont="0" applyFill="0" applyBorder="0" applyAlignment="0" applyProtection="0"/>
    <xf numFmtId="43" fontId="87" fillId="0" borderId="0" applyFont="0" applyFill="0" applyBorder="0" applyAlignment="0" applyProtection="0"/>
    <xf numFmtId="43" fontId="87" fillId="0" borderId="0" applyFont="0" applyFill="0" applyBorder="0" applyAlignment="0" applyProtection="0"/>
    <xf numFmtId="43" fontId="87" fillId="0" borderId="0" applyFont="0" applyFill="0" applyBorder="0" applyAlignment="0" applyProtection="0"/>
    <xf numFmtId="43" fontId="87" fillId="0" borderId="0" applyFont="0" applyFill="0" applyBorder="0" applyAlignment="0" applyProtection="0"/>
    <xf numFmtId="43" fontId="87" fillId="0" borderId="0" applyFont="0" applyFill="0" applyBorder="0" applyAlignment="0" applyProtection="0"/>
    <xf numFmtId="43" fontId="87" fillId="0" borderId="0" applyFont="0" applyFill="0" applyBorder="0" applyAlignment="0" applyProtection="0"/>
    <xf numFmtId="43" fontId="87" fillId="0" borderId="0" applyFont="0" applyFill="0" applyBorder="0" applyAlignment="0" applyProtection="0"/>
    <xf numFmtId="179" fontId="36" fillId="0" borderId="0" applyFont="0" applyFill="0" applyBorder="0" applyAlignment="0" applyProtection="0"/>
    <xf numFmtId="43" fontId="87" fillId="0" borderId="0" applyFont="0" applyFill="0" applyBorder="0" applyAlignment="0" applyProtection="0"/>
    <xf numFmtId="179" fontId="36" fillId="0" borderId="0" applyFont="0" applyFill="0" applyBorder="0" applyAlignment="0" applyProtection="0"/>
    <xf numFmtId="43" fontId="87" fillId="0" borderId="0" applyFont="0" applyFill="0" applyBorder="0" applyAlignment="0" applyProtection="0"/>
    <xf numFmtId="179" fontId="36" fillId="0" borderId="0" applyFont="0" applyFill="0" applyBorder="0" applyAlignment="0" applyProtection="0"/>
    <xf numFmtId="43" fontId="87" fillId="0" borderId="0" applyFont="0" applyFill="0" applyBorder="0" applyAlignment="0" applyProtection="0"/>
    <xf numFmtId="43" fontId="87" fillId="0" borderId="0" applyFont="0" applyFill="0" applyBorder="0" applyAlignment="0" applyProtection="0"/>
    <xf numFmtId="43" fontId="87" fillId="0" borderId="0" applyFont="0" applyFill="0" applyBorder="0" applyAlignment="0" applyProtection="0"/>
    <xf numFmtId="43" fontId="87" fillId="0" borderId="0" applyFont="0" applyFill="0" applyBorder="0" applyAlignment="0" applyProtection="0"/>
    <xf numFmtId="43" fontId="87" fillId="0" borderId="0" applyFont="0" applyFill="0" applyBorder="0" applyAlignment="0" applyProtection="0"/>
    <xf numFmtId="0" fontId="92" fillId="0" borderId="0"/>
    <xf numFmtId="0" fontId="92" fillId="0" borderId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92" fillId="0" borderId="0"/>
    <xf numFmtId="0" fontId="92" fillId="0" borderId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92" fillId="0" borderId="0"/>
    <xf numFmtId="0" fontId="92" fillId="0" borderId="0"/>
    <xf numFmtId="43" fontId="36" fillId="0" borderId="0" applyFont="0" applyFill="0" applyBorder="0" applyAlignment="0" applyProtection="0"/>
    <xf numFmtId="0" fontId="92" fillId="0" borderId="0"/>
    <xf numFmtId="0" fontId="92" fillId="0" borderId="0"/>
    <xf numFmtId="175" fontId="1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5" fontId="36" fillId="0" borderId="0" applyFont="0" applyFill="0" applyBorder="0" applyAlignment="0" applyProtection="0"/>
    <xf numFmtId="167" fontId="92" fillId="0" borderId="0" applyFont="0" applyFill="0" applyBorder="0" applyAlignment="0" applyProtection="0"/>
    <xf numFmtId="173" fontId="92" fillId="0" borderId="0" applyFont="0" applyFill="0" applyBorder="0" applyAlignment="0" applyProtection="0"/>
    <xf numFmtId="42" fontId="92" fillId="0" borderId="0" applyFont="0" applyFill="0" applyBorder="0" applyAlignment="0" applyProtection="0"/>
    <xf numFmtId="168" fontId="92" fillId="0" borderId="0" applyFont="0" applyFill="0" applyBorder="0" applyAlignment="0" applyProtection="0"/>
    <xf numFmtId="180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67" fontId="92" fillId="0" borderId="0" applyFont="0" applyFill="0" applyBorder="0" applyAlignment="0" applyProtection="0"/>
    <xf numFmtId="44" fontId="92" fillId="0" borderId="0" applyFont="0" applyFill="0" applyBorder="0" applyAlignment="0" applyProtection="0"/>
    <xf numFmtId="44" fontId="92" fillId="0" borderId="0" applyFont="0" applyFill="0" applyBorder="0" applyAlignment="0" applyProtection="0"/>
    <xf numFmtId="0" fontId="92" fillId="0" borderId="0"/>
    <xf numFmtId="0" fontId="92" fillId="0" borderId="0"/>
    <xf numFmtId="0" fontId="36" fillId="0" borderId="0"/>
    <xf numFmtId="0" fontId="36" fillId="0" borderId="0"/>
    <xf numFmtId="0" fontId="36" fillId="0" borderId="0"/>
    <xf numFmtId="0" fontId="92" fillId="0" borderId="0"/>
    <xf numFmtId="0" fontId="92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92" fillId="0" borderId="0"/>
    <xf numFmtId="0" fontId="92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92" fillId="0" borderId="0"/>
    <xf numFmtId="0" fontId="92" fillId="0" borderId="0"/>
    <xf numFmtId="0" fontId="87" fillId="0" borderId="0"/>
    <xf numFmtId="0" fontId="87" fillId="0" borderId="0"/>
    <xf numFmtId="0" fontId="87" fillId="0" borderId="0"/>
    <xf numFmtId="0" fontId="92" fillId="0" borderId="0"/>
    <xf numFmtId="0" fontId="92" fillId="0" borderId="0"/>
    <xf numFmtId="0" fontId="87" fillId="0" borderId="0"/>
    <xf numFmtId="0" fontId="92" fillId="0" borderId="0"/>
    <xf numFmtId="0" fontId="92" fillId="0" borderId="0"/>
    <xf numFmtId="0" fontId="87" fillId="0" borderId="0"/>
    <xf numFmtId="0" fontId="92" fillId="0" borderId="0"/>
    <xf numFmtId="0" fontId="92" fillId="0" borderId="0"/>
    <xf numFmtId="0" fontId="12" fillId="0" borderId="0"/>
    <xf numFmtId="0" fontId="92" fillId="0" borderId="0"/>
    <xf numFmtId="0" fontId="92" fillId="0" borderId="0"/>
    <xf numFmtId="0" fontId="89" fillId="0" borderId="0">
      <alignment vertical="top"/>
    </xf>
    <xf numFmtId="0" fontId="89" fillId="0" borderId="0">
      <alignment vertical="top"/>
    </xf>
    <xf numFmtId="0" fontId="92" fillId="0" borderId="0"/>
    <xf numFmtId="0" fontId="92" fillId="0" borderId="0"/>
    <xf numFmtId="0" fontId="25" fillId="0" borderId="0"/>
    <xf numFmtId="0" fontId="92" fillId="0" borderId="0"/>
    <xf numFmtId="0" fontId="92" fillId="0" borderId="0"/>
    <xf numFmtId="0" fontId="36" fillId="0" borderId="0"/>
    <xf numFmtId="0" fontId="92" fillId="0" borderId="0"/>
    <xf numFmtId="0" fontId="36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36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87" fillId="0" borderId="0"/>
    <xf numFmtId="0" fontId="92" fillId="0" borderId="0"/>
    <xf numFmtId="0" fontId="2" fillId="0" borderId="0"/>
    <xf numFmtId="0" fontId="87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87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10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10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87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36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8" fillId="0" borderId="0"/>
    <xf numFmtId="0" fontId="92" fillId="0" borderId="0"/>
    <xf numFmtId="0" fontId="89" fillId="0" borderId="0">
      <alignment vertical="top"/>
    </xf>
    <xf numFmtId="0" fontId="92" fillId="0" borderId="0"/>
    <xf numFmtId="0" fontId="92" fillId="0" borderId="0"/>
    <xf numFmtId="0" fontId="36" fillId="0" borderId="0"/>
    <xf numFmtId="0" fontId="2" fillId="0" borderId="0"/>
    <xf numFmtId="0" fontId="36" fillId="0" borderId="0"/>
    <xf numFmtId="0" fontId="36" fillId="0" borderId="0"/>
    <xf numFmtId="0" fontId="36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2" fillId="0" borderId="0"/>
    <xf numFmtId="0" fontId="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89" fillId="0" borderId="0">
      <alignment vertical="top"/>
    </xf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92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92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92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92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92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92" fillId="0" borderId="0"/>
    <xf numFmtId="0" fontId="92" fillId="0" borderId="0"/>
    <xf numFmtId="0" fontId="89" fillId="0" borderId="0">
      <alignment vertical="top"/>
    </xf>
    <xf numFmtId="0" fontId="89" fillId="0" borderId="0">
      <alignment vertical="top"/>
    </xf>
    <xf numFmtId="0" fontId="89" fillId="0" borderId="0">
      <alignment vertical="top"/>
    </xf>
    <xf numFmtId="0" fontId="36" fillId="0" borderId="0"/>
    <xf numFmtId="0" fontId="36" fillId="0" borderId="0"/>
    <xf numFmtId="0" fontId="36" fillId="0" borderId="0"/>
    <xf numFmtId="0" fontId="36" fillId="0" borderId="0"/>
    <xf numFmtId="0" fontId="8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88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92" fillId="0" borderId="0"/>
    <xf numFmtId="0" fontId="92" fillId="0" borderId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92" fillId="0" borderId="0" applyFont="0" applyFill="0" applyBorder="0" applyAlignment="0" applyProtection="0"/>
    <xf numFmtId="0" fontId="93" fillId="0" borderId="0">
      <alignment vertical="top"/>
    </xf>
    <xf numFmtId="43" fontId="93" fillId="0" borderId="0" applyFont="0" applyFill="0" applyBorder="0" applyAlignment="0" applyProtection="0">
      <alignment vertical="top"/>
    </xf>
    <xf numFmtId="164" fontId="97" fillId="0" borderId="0" applyFont="0" applyFill="0" applyBorder="0" applyAlignment="0" applyProtection="0"/>
    <xf numFmtId="41" fontId="98" fillId="0" borderId="0" applyFont="0" applyFill="0" applyBorder="0" applyAlignment="0" applyProtection="0"/>
    <xf numFmtId="0" fontId="98" fillId="0" borderId="0"/>
    <xf numFmtId="0" fontId="97" fillId="0" borderId="0"/>
    <xf numFmtId="164" fontId="98" fillId="0" borderId="0" applyFont="0" applyFill="0" applyBorder="0" applyAlignment="0" applyProtection="0"/>
    <xf numFmtId="0" fontId="98" fillId="0" borderId="0"/>
    <xf numFmtId="0" fontId="103" fillId="0" borderId="0"/>
    <xf numFmtId="41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1" fontId="98" fillId="0" borderId="0" applyFont="0" applyFill="0" applyBorder="0" applyAlignment="0" applyProtection="0"/>
    <xf numFmtId="169" fontId="1" fillId="0" borderId="0" applyFont="0" applyFill="0" applyBorder="0" applyAlignment="0" applyProtection="0"/>
    <xf numFmtId="41" fontId="111" fillId="0" borderId="0" applyFont="0" applyFill="0" applyBorder="0" applyAlignment="0" applyProtection="0"/>
    <xf numFmtId="41" fontId="111" fillId="0" borderId="0" applyFont="0" applyFill="0" applyBorder="0" applyAlignment="0" applyProtection="0"/>
    <xf numFmtId="41" fontId="111" fillId="0" borderId="0" applyFont="0" applyFill="0" applyBorder="0" applyAlignment="0" applyProtection="0"/>
    <xf numFmtId="41" fontId="111" fillId="0" borderId="0" applyFont="0" applyFill="0" applyBorder="0" applyAlignment="0" applyProtection="0"/>
    <xf numFmtId="41" fontId="111" fillId="0" borderId="0" applyFont="0" applyFill="0" applyBorder="0" applyAlignment="0" applyProtection="0"/>
    <xf numFmtId="41" fontId="111" fillId="0" borderId="0" applyFont="0" applyFill="0" applyBorder="0" applyAlignment="0" applyProtection="0"/>
    <xf numFmtId="41" fontId="111" fillId="0" borderId="0" applyFont="0" applyFill="0" applyBorder="0" applyAlignment="0" applyProtection="0"/>
    <xf numFmtId="41" fontId="111" fillId="0" borderId="0" applyFont="0" applyFill="0" applyBorder="0" applyAlignment="0" applyProtection="0"/>
    <xf numFmtId="167" fontId="111" fillId="0" borderId="0" applyFont="0" applyFill="0" applyBorder="0" applyAlignment="0" applyProtection="0"/>
    <xf numFmtId="41" fontId="111" fillId="0" borderId="0" applyFont="0" applyFill="0" applyBorder="0" applyAlignment="0" applyProtection="0"/>
    <xf numFmtId="41" fontId="103" fillId="0" borderId="0" applyFont="0" applyFill="0" applyBorder="0" applyAlignment="0" applyProtection="0"/>
    <xf numFmtId="41" fontId="103" fillId="0" borderId="0" applyFont="0" applyFill="0" applyBorder="0" applyAlignment="0" applyProtection="0"/>
    <xf numFmtId="41" fontId="103" fillId="0" borderId="0" applyFont="0" applyFill="0" applyBorder="0" applyAlignment="0" applyProtection="0"/>
    <xf numFmtId="41" fontId="103" fillId="0" borderId="0" applyFont="0" applyFill="0" applyBorder="0" applyAlignment="0" applyProtection="0"/>
    <xf numFmtId="41" fontId="103" fillId="0" borderId="0" applyFont="0" applyFill="0" applyBorder="0" applyAlignment="0" applyProtection="0"/>
    <xf numFmtId="41" fontId="103" fillId="0" borderId="0" applyFont="0" applyFill="0" applyBorder="0" applyAlignment="0" applyProtection="0"/>
    <xf numFmtId="41" fontId="103" fillId="0" borderId="0" applyFont="0" applyFill="0" applyBorder="0" applyAlignment="0" applyProtection="0"/>
    <xf numFmtId="41" fontId="103" fillId="0" borderId="0" applyFont="0" applyFill="0" applyBorder="0" applyAlignment="0" applyProtection="0"/>
    <xf numFmtId="41" fontId="103" fillId="0" borderId="0" applyFont="0" applyFill="0" applyBorder="0" applyAlignment="0" applyProtection="0"/>
    <xf numFmtId="41" fontId="103" fillId="0" borderId="0" applyFont="0" applyFill="0" applyBorder="0" applyAlignment="0" applyProtection="0"/>
    <xf numFmtId="41" fontId="103" fillId="0" borderId="0" applyFont="0" applyFill="0" applyBorder="0" applyAlignment="0" applyProtection="0"/>
    <xf numFmtId="41" fontId="103" fillId="0" borderId="0" applyFont="0" applyFill="0" applyBorder="0" applyAlignment="0" applyProtection="0"/>
    <xf numFmtId="41" fontId="103" fillId="0" borderId="0" applyFont="0" applyFill="0" applyBorder="0" applyAlignment="0" applyProtection="0"/>
    <xf numFmtId="41" fontId="103" fillId="0" borderId="0" applyFont="0" applyFill="0" applyBorder="0" applyAlignment="0" applyProtection="0"/>
    <xf numFmtId="41" fontId="103" fillId="0" borderId="0" applyFont="0" applyFill="0" applyBorder="0" applyAlignment="0" applyProtection="0"/>
    <xf numFmtId="41" fontId="103" fillId="0" borderId="0" applyFont="0" applyFill="0" applyBorder="0" applyAlignment="0" applyProtection="0"/>
    <xf numFmtId="41" fontId="103" fillId="0" borderId="0" applyFont="0" applyFill="0" applyBorder="0" applyAlignment="0" applyProtection="0"/>
    <xf numFmtId="41" fontId="103" fillId="0" borderId="0" applyFont="0" applyFill="0" applyBorder="0" applyAlignment="0" applyProtection="0"/>
    <xf numFmtId="41" fontId="103" fillId="0" borderId="0" applyFont="0" applyFill="0" applyBorder="0" applyAlignment="0" applyProtection="0"/>
    <xf numFmtId="41" fontId="103" fillId="0" borderId="0" applyFont="0" applyFill="0" applyBorder="0" applyAlignment="0" applyProtection="0"/>
    <xf numFmtId="41" fontId="103" fillId="0" borderId="0" applyFont="0" applyFill="0" applyBorder="0" applyAlignment="0" applyProtection="0"/>
    <xf numFmtId="41" fontId="103" fillId="0" borderId="0" applyFont="0" applyFill="0" applyBorder="0" applyAlignment="0" applyProtection="0"/>
    <xf numFmtId="41" fontId="103" fillId="0" borderId="0" applyFont="0" applyFill="0" applyBorder="0" applyAlignment="0" applyProtection="0"/>
    <xf numFmtId="41" fontId="103" fillId="0" borderId="0" applyFont="0" applyFill="0" applyBorder="0" applyAlignment="0" applyProtection="0"/>
    <xf numFmtId="41" fontId="103" fillId="0" borderId="0" applyFont="0" applyFill="0" applyBorder="0" applyAlignment="0" applyProtection="0"/>
    <xf numFmtId="41" fontId="103" fillId="0" borderId="0" applyFont="0" applyFill="0" applyBorder="0" applyAlignment="0" applyProtection="0"/>
    <xf numFmtId="41" fontId="103" fillId="0" borderId="0" applyFont="0" applyFill="0" applyBorder="0" applyAlignment="0" applyProtection="0"/>
    <xf numFmtId="41" fontId="103" fillId="0" borderId="0" applyFont="0" applyFill="0" applyBorder="0" applyAlignment="0" applyProtection="0"/>
    <xf numFmtId="41" fontId="103" fillId="0" borderId="0" applyFont="0" applyFill="0" applyBorder="0" applyAlignment="0" applyProtection="0"/>
    <xf numFmtId="41" fontId="103" fillId="0" borderId="0" applyFont="0" applyFill="0" applyBorder="0" applyAlignment="0" applyProtection="0"/>
    <xf numFmtId="41" fontId="103" fillId="0" borderId="0" applyFont="0" applyFill="0" applyBorder="0" applyAlignment="0" applyProtection="0"/>
    <xf numFmtId="41" fontId="103" fillId="0" borderId="0" applyFont="0" applyFill="0" applyBorder="0" applyAlignment="0" applyProtection="0"/>
    <xf numFmtId="41" fontId="103" fillId="0" borderId="0" applyFont="0" applyFill="0" applyBorder="0" applyAlignment="0" applyProtection="0"/>
    <xf numFmtId="41" fontId="103" fillId="0" borderId="0" applyFont="0" applyFill="0" applyBorder="0" applyAlignment="0" applyProtection="0"/>
    <xf numFmtId="41" fontId="103" fillId="0" borderId="0" applyFont="0" applyFill="0" applyBorder="0" applyAlignment="0" applyProtection="0"/>
    <xf numFmtId="41" fontId="103" fillId="0" borderId="0" applyFont="0" applyFill="0" applyBorder="0" applyAlignment="0" applyProtection="0"/>
    <xf numFmtId="41" fontId="103" fillId="0" borderId="0" applyFont="0" applyFill="0" applyBorder="0" applyAlignment="0" applyProtection="0"/>
    <xf numFmtId="41" fontId="103" fillId="0" borderId="0" applyFont="0" applyFill="0" applyBorder="0" applyAlignment="0" applyProtection="0"/>
    <xf numFmtId="41" fontId="103" fillId="0" borderId="0" applyFont="0" applyFill="0" applyBorder="0" applyAlignment="0" applyProtection="0"/>
    <xf numFmtId="41" fontId="103" fillId="0" borderId="0" applyFont="0" applyFill="0" applyBorder="0" applyAlignment="0" applyProtection="0"/>
    <xf numFmtId="41" fontId="103" fillId="0" borderId="0" applyFont="0" applyFill="0" applyBorder="0" applyAlignment="0" applyProtection="0"/>
    <xf numFmtId="41" fontId="103" fillId="0" borderId="0" applyFont="0" applyFill="0" applyBorder="0" applyAlignment="0" applyProtection="0"/>
    <xf numFmtId="41" fontId="103" fillId="0" borderId="0" applyFont="0" applyFill="0" applyBorder="0" applyAlignment="0" applyProtection="0"/>
    <xf numFmtId="41" fontId="103" fillId="0" borderId="0" applyFont="0" applyFill="0" applyBorder="0" applyAlignment="0" applyProtection="0"/>
    <xf numFmtId="41" fontId="103" fillId="0" borderId="0" applyFont="0" applyFill="0" applyBorder="0" applyAlignment="0" applyProtection="0"/>
    <xf numFmtId="41" fontId="103" fillId="0" borderId="0" applyFont="0" applyFill="0" applyBorder="0" applyAlignment="0" applyProtection="0"/>
    <xf numFmtId="41" fontId="103" fillId="0" borderId="0" applyFont="0" applyFill="0" applyBorder="0" applyAlignment="0" applyProtection="0"/>
    <xf numFmtId="41" fontId="103" fillId="0" borderId="0" applyFont="0" applyFill="0" applyBorder="0" applyAlignment="0" applyProtection="0"/>
    <xf numFmtId="41" fontId="103" fillId="0" borderId="0" applyFont="0" applyFill="0" applyBorder="0" applyAlignment="0" applyProtection="0"/>
    <xf numFmtId="41" fontId="103" fillId="0" borderId="0" applyFont="0" applyFill="0" applyBorder="0" applyAlignment="0" applyProtection="0"/>
    <xf numFmtId="41" fontId="103" fillId="0" borderId="0" applyFont="0" applyFill="0" applyBorder="0" applyAlignment="0" applyProtection="0"/>
    <xf numFmtId="41" fontId="103" fillId="0" borderId="0" applyFont="0" applyFill="0" applyBorder="0" applyAlignment="0" applyProtection="0"/>
    <xf numFmtId="41" fontId="103" fillId="0" borderId="0" applyFont="0" applyFill="0" applyBorder="0" applyAlignment="0" applyProtection="0"/>
    <xf numFmtId="41" fontId="103" fillId="0" borderId="0" applyFont="0" applyFill="0" applyBorder="0" applyAlignment="0" applyProtection="0"/>
    <xf numFmtId="41" fontId="103" fillId="0" borderId="0" applyFont="0" applyFill="0" applyBorder="0" applyAlignment="0" applyProtection="0"/>
    <xf numFmtId="41" fontId="103" fillId="0" borderId="0" applyFont="0" applyFill="0" applyBorder="0" applyAlignment="0" applyProtection="0"/>
    <xf numFmtId="41" fontId="103" fillId="0" borderId="0" applyFont="0" applyFill="0" applyBorder="0" applyAlignment="0" applyProtection="0"/>
    <xf numFmtId="41" fontId="103" fillId="0" borderId="0" applyFont="0" applyFill="0" applyBorder="0" applyAlignment="0" applyProtection="0"/>
    <xf numFmtId="41" fontId="103" fillId="0" borderId="0" applyFont="0" applyFill="0" applyBorder="0" applyAlignment="0" applyProtection="0"/>
    <xf numFmtId="41" fontId="103" fillId="0" borderId="0" applyFont="0" applyFill="0" applyBorder="0" applyAlignment="0" applyProtection="0"/>
    <xf numFmtId="41" fontId="103" fillId="0" borderId="0" applyFont="0" applyFill="0" applyBorder="0" applyAlignment="0" applyProtection="0"/>
    <xf numFmtId="41" fontId="103" fillId="0" borderId="0" applyFont="0" applyFill="0" applyBorder="0" applyAlignment="0" applyProtection="0"/>
    <xf numFmtId="41" fontId="103" fillId="0" borderId="0" applyFont="0" applyFill="0" applyBorder="0" applyAlignment="0" applyProtection="0"/>
    <xf numFmtId="41" fontId="103" fillId="0" borderId="0" applyFont="0" applyFill="0" applyBorder="0" applyAlignment="0" applyProtection="0"/>
    <xf numFmtId="41" fontId="103" fillId="0" borderId="0" applyFont="0" applyFill="0" applyBorder="0" applyAlignment="0" applyProtection="0"/>
    <xf numFmtId="41" fontId="103" fillId="0" borderId="0" applyFont="0" applyFill="0" applyBorder="0" applyAlignment="0" applyProtection="0"/>
    <xf numFmtId="41" fontId="103" fillId="0" borderId="0" applyFont="0" applyFill="0" applyBorder="0" applyAlignment="0" applyProtection="0"/>
    <xf numFmtId="41" fontId="103" fillId="0" borderId="0" applyFont="0" applyFill="0" applyBorder="0" applyAlignment="0" applyProtection="0"/>
    <xf numFmtId="41" fontId="103" fillId="0" borderId="0" applyFont="0" applyFill="0" applyBorder="0" applyAlignment="0" applyProtection="0"/>
    <xf numFmtId="41" fontId="103" fillId="0" borderId="0" applyFont="0" applyFill="0" applyBorder="0" applyAlignment="0" applyProtection="0"/>
    <xf numFmtId="41" fontId="103" fillId="0" borderId="0" applyFont="0" applyFill="0" applyBorder="0" applyAlignment="0" applyProtection="0"/>
    <xf numFmtId="41" fontId="103" fillId="0" borderId="0" applyFont="0" applyFill="0" applyBorder="0" applyAlignment="0" applyProtection="0"/>
    <xf numFmtId="41" fontId="103" fillId="0" borderId="0" applyFont="0" applyFill="0" applyBorder="0" applyAlignment="0" applyProtection="0"/>
    <xf numFmtId="41" fontId="103" fillId="0" borderId="0" applyFont="0" applyFill="0" applyBorder="0" applyAlignment="0" applyProtection="0"/>
    <xf numFmtId="41" fontId="103" fillId="0" borderId="0" applyFont="0" applyFill="0" applyBorder="0" applyAlignment="0" applyProtection="0"/>
    <xf numFmtId="41" fontId="103" fillId="0" borderId="0" applyFont="0" applyFill="0" applyBorder="0" applyAlignment="0" applyProtection="0"/>
    <xf numFmtId="41" fontId="103" fillId="0" borderId="0" applyFont="0" applyFill="0" applyBorder="0" applyAlignment="0" applyProtection="0"/>
    <xf numFmtId="41" fontId="103" fillId="0" borderId="0" applyFont="0" applyFill="0" applyBorder="0" applyAlignment="0" applyProtection="0"/>
    <xf numFmtId="41" fontId="103" fillId="0" borderId="0" applyFont="0" applyFill="0" applyBorder="0" applyAlignment="0" applyProtection="0"/>
    <xf numFmtId="41" fontId="103" fillId="0" borderId="0" applyFont="0" applyFill="0" applyBorder="0" applyAlignment="0" applyProtection="0"/>
    <xf numFmtId="41" fontId="103" fillId="0" borderId="0" applyFont="0" applyFill="0" applyBorder="0" applyAlignment="0" applyProtection="0"/>
    <xf numFmtId="41" fontId="103" fillId="0" borderId="0" applyFont="0" applyFill="0" applyBorder="0" applyAlignment="0" applyProtection="0"/>
    <xf numFmtId="41" fontId="103" fillId="0" borderId="0" applyFont="0" applyFill="0" applyBorder="0" applyAlignment="0" applyProtection="0"/>
    <xf numFmtId="179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179" fontId="98" fillId="0" borderId="0" applyFont="0" applyFill="0" applyBorder="0" applyAlignment="0" applyProtection="0"/>
    <xf numFmtId="43" fontId="112" fillId="0" borderId="0" applyFont="0" applyFill="0" applyBorder="0" applyAlignment="0" applyProtection="0"/>
    <xf numFmtId="179" fontId="1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103" fillId="0" borderId="0" applyFont="0" applyFill="0" applyBorder="0" applyAlignment="0" applyProtection="0"/>
    <xf numFmtId="0" fontId="111" fillId="0" borderId="0"/>
    <xf numFmtId="0" fontId="111" fillId="0" borderId="0"/>
    <xf numFmtId="0" fontId="111" fillId="0" borderId="0"/>
    <xf numFmtId="0" fontId="111" fillId="0" borderId="0"/>
    <xf numFmtId="0" fontId="111" fillId="0" borderId="0"/>
    <xf numFmtId="0" fontId="111" fillId="0" borderId="0"/>
    <xf numFmtId="0" fontId="111" fillId="0" borderId="0"/>
    <xf numFmtId="0" fontId="111" fillId="0" borderId="0"/>
    <xf numFmtId="0" fontId="98" fillId="0" borderId="0"/>
    <xf numFmtId="0" fontId="103" fillId="0" borderId="0"/>
    <xf numFmtId="0" fontId="103" fillId="0" borderId="0"/>
    <xf numFmtId="0" fontId="103" fillId="0" borderId="0"/>
    <xf numFmtId="0" fontId="112" fillId="0" borderId="0"/>
    <xf numFmtId="0" fontId="1" fillId="0" borderId="0"/>
    <xf numFmtId="0" fontId="111" fillId="0" borderId="0"/>
    <xf numFmtId="0" fontId="111" fillId="0" borderId="0"/>
    <xf numFmtId="0" fontId="111" fillId="0" borderId="0"/>
    <xf numFmtId="0" fontId="111" fillId="0" borderId="0"/>
    <xf numFmtId="0" fontId="111" fillId="0" borderId="0"/>
    <xf numFmtId="0" fontId="111" fillId="0" borderId="0"/>
    <xf numFmtId="0" fontId="111" fillId="0" borderId="0"/>
    <xf numFmtId="0" fontId="111" fillId="0" borderId="0"/>
    <xf numFmtId="0" fontId="103" fillId="0" borderId="0"/>
    <xf numFmtId="0" fontId="98" fillId="0" borderId="0"/>
    <xf numFmtId="170" fontId="111" fillId="0" borderId="0" applyFont="0" applyFill="0" applyBorder="0" applyAlignment="0" applyProtection="0"/>
    <xf numFmtId="0" fontId="106" fillId="0" borderId="0"/>
    <xf numFmtId="179" fontId="106" fillId="0" borderId="0" applyFont="0" applyFill="0" applyBorder="0" applyAlignment="0" applyProtection="0"/>
    <xf numFmtId="0" fontId="127" fillId="0" borderId="0"/>
    <xf numFmtId="170" fontId="98" fillId="0" borderId="0" applyFont="0" applyFill="0" applyBorder="0" applyAlignment="0" applyProtection="0"/>
  </cellStyleXfs>
  <cellXfs count="2237">
    <xf numFmtId="0" fontId="0" fillId="0" borderId="0" xfId="0"/>
    <xf numFmtId="0" fontId="2" fillId="0" borderId="0" xfId="1383" applyAlignment="1">
      <alignment horizontal="center" vertical="center"/>
    </xf>
    <xf numFmtId="0" fontId="2" fillId="0" borderId="0" xfId="1383"/>
    <xf numFmtId="164" fontId="0" fillId="0" borderId="0" xfId="65" applyNumberFormat="1" applyFont="1" applyFill="1"/>
    <xf numFmtId="0" fontId="2" fillId="0" borderId="0" xfId="1383" applyFill="1" applyAlignment="1">
      <alignment horizontal="center" vertical="center"/>
    </xf>
    <xf numFmtId="0" fontId="2" fillId="0" borderId="0" xfId="1383" applyFill="1" applyAlignment="1"/>
    <xf numFmtId="164" fontId="0" fillId="0" borderId="0" xfId="65" applyNumberFormat="1" applyFont="1" applyFill="1" applyAlignment="1"/>
    <xf numFmtId="164" fontId="4" fillId="0" borderId="0" xfId="65" applyNumberFormat="1" applyFont="1" applyFill="1" applyAlignment="1">
      <alignment horizontal="right"/>
    </xf>
    <xf numFmtId="0" fontId="5" fillId="0" borderId="1" xfId="1383" applyFont="1" applyBorder="1" applyAlignment="1">
      <alignment horizontal="center" vertical="center"/>
    </xf>
    <xf numFmtId="164" fontId="5" fillId="0" borderId="1" xfId="65" applyNumberFormat="1" applyFont="1" applyFill="1" applyBorder="1" applyAlignment="1">
      <alignment horizontal="center" vertical="center" wrapText="1"/>
    </xf>
    <xf numFmtId="0" fontId="2" fillId="0" borderId="1" xfId="1383" applyBorder="1" applyAlignment="1">
      <alignment horizontal="center" vertical="center"/>
    </xf>
    <xf numFmtId="0" fontId="2" fillId="0" borderId="1" xfId="1383" applyFill="1" applyBorder="1" applyAlignment="1">
      <alignment horizontal="left"/>
    </xf>
    <xf numFmtId="164" fontId="0" fillId="0" borderId="1" xfId="65" applyNumberFormat="1" applyFont="1" applyFill="1" applyBorder="1"/>
    <xf numFmtId="0" fontId="2" fillId="0" borderId="1" xfId="1383" applyFill="1" applyBorder="1" applyAlignment="1">
      <alignment horizontal="center" vertical="center"/>
    </xf>
    <xf numFmtId="0" fontId="2" fillId="0" borderId="1" xfId="1383" applyFill="1" applyBorder="1" applyAlignment="1"/>
    <xf numFmtId="0" fontId="2" fillId="0" borderId="1" xfId="1383" applyFill="1" applyBorder="1"/>
    <xf numFmtId="164" fontId="5" fillId="0" borderId="1" xfId="65" applyNumberFormat="1" applyFont="1" applyFill="1" applyBorder="1"/>
    <xf numFmtId="0" fontId="5" fillId="0" borderId="0" xfId="1383" applyFont="1" applyFill="1"/>
    <xf numFmtId="0" fontId="2" fillId="0" borderId="1" xfId="1383" applyBorder="1"/>
    <xf numFmtId="0" fontId="2" fillId="0" borderId="0" xfId="1383" applyFill="1"/>
    <xf numFmtId="0" fontId="3" fillId="0" borderId="0" xfId="1069" applyFont="1" applyBorder="1" applyAlignment="1">
      <alignment vertical="center"/>
    </xf>
    <xf numFmtId="0" fontId="2" fillId="0" borderId="0" xfId="1383" applyFill="1" applyAlignment="1">
      <alignment horizontal="center"/>
    </xf>
    <xf numFmtId="0" fontId="5" fillId="0" borderId="0" xfId="1383" applyFont="1" applyFill="1" applyAlignment="1"/>
    <xf numFmtId="0" fontId="6" fillId="0" borderId="0" xfId="1383" applyFont="1" applyFill="1" applyAlignment="1">
      <alignment horizontal="right"/>
    </xf>
    <xf numFmtId="0" fontId="5" fillId="0" borderId="1" xfId="1383" applyFont="1" applyFill="1" applyBorder="1" applyAlignment="1">
      <alignment horizontal="center" vertical="center"/>
    </xf>
    <xf numFmtId="0" fontId="2" fillId="0" borderId="1" xfId="1383" applyFill="1" applyBorder="1" applyAlignment="1">
      <alignment horizontal="center"/>
    </xf>
    <xf numFmtId="164" fontId="0" fillId="0" borderId="1" xfId="65" applyNumberFormat="1" applyFont="1" applyFill="1" applyBorder="1" applyAlignment="1"/>
    <xf numFmtId="181" fontId="7" fillId="0" borderId="1" xfId="704" applyNumberFormat="1" applyFont="1" applyFill="1" applyBorder="1"/>
    <xf numFmtId="164" fontId="5" fillId="0" borderId="1" xfId="65" applyNumberFormat="1" applyFont="1" applyFill="1" applyBorder="1" applyAlignment="1"/>
    <xf numFmtId="0" fontId="5" fillId="0" borderId="0" xfId="1383" applyFont="1" applyAlignment="1">
      <alignment vertical="center"/>
    </xf>
    <xf numFmtId="0" fontId="2" fillId="0" borderId="0" xfId="1383" applyAlignment="1">
      <alignment horizontal="left"/>
    </xf>
    <xf numFmtId="0" fontId="5" fillId="0" borderId="1" xfId="1383" applyFont="1" applyBorder="1" applyAlignment="1">
      <alignment horizontal="left" vertical="center"/>
    </xf>
    <xf numFmtId="164" fontId="5" fillId="0" borderId="1" xfId="65" applyNumberFormat="1" applyFont="1" applyBorder="1" applyAlignment="1">
      <alignment horizontal="center" wrapText="1"/>
    </xf>
    <xf numFmtId="0" fontId="2" fillId="0" borderId="1" xfId="1383" applyBorder="1" applyAlignment="1">
      <alignment horizontal="left" vertical="center"/>
    </xf>
    <xf numFmtId="0" fontId="2" fillId="0" borderId="2" xfId="1383" applyBorder="1" applyAlignment="1">
      <alignment horizontal="left"/>
    </xf>
    <xf numFmtId="179" fontId="0" fillId="0" borderId="1" xfId="813" applyFont="1" applyBorder="1"/>
    <xf numFmtId="0" fontId="2" fillId="0" borderId="1" xfId="1383" applyBorder="1" applyAlignment="1">
      <alignment horizontal="left"/>
    </xf>
    <xf numFmtId="0" fontId="2" fillId="0" borderId="5" xfId="1383" applyBorder="1" applyAlignment="1">
      <alignment horizontal="left"/>
    </xf>
    <xf numFmtId="0" fontId="2" fillId="0" borderId="6" xfId="1383" applyBorder="1"/>
    <xf numFmtId="179" fontId="5" fillId="0" borderId="9" xfId="1383" applyNumberFormat="1" applyFont="1" applyBorder="1" applyAlignment="1">
      <alignment vertical="center"/>
    </xf>
    <xf numFmtId="179" fontId="0" fillId="0" borderId="0" xfId="813" applyFont="1"/>
    <xf numFmtId="179" fontId="2" fillId="0" borderId="0" xfId="1383" applyNumberFormat="1"/>
    <xf numFmtId="0" fontId="5" fillId="0" borderId="5" xfId="1383" applyFont="1" applyFill="1" applyBorder="1" applyAlignment="1">
      <alignment horizontal="center" vertical="center"/>
    </xf>
    <xf numFmtId="164" fontId="5" fillId="0" borderId="5" xfId="65" applyNumberFormat="1" applyFont="1" applyFill="1" applyBorder="1" applyAlignment="1">
      <alignment horizontal="center" vertical="center" wrapText="1"/>
    </xf>
    <xf numFmtId="164" fontId="8" fillId="0" borderId="1" xfId="65" applyNumberFormat="1" applyFont="1" applyFill="1" applyBorder="1" applyAlignment="1"/>
    <xf numFmtId="179" fontId="0" fillId="0" borderId="1" xfId="813" applyFont="1" applyFill="1" applyBorder="1" applyAlignment="1"/>
    <xf numFmtId="164" fontId="5" fillId="0" borderId="0" xfId="65" applyNumberFormat="1" applyFont="1" applyFill="1" applyAlignment="1"/>
    <xf numFmtId="164" fontId="5" fillId="0" borderId="1" xfId="65" applyNumberFormat="1" applyFont="1" applyFill="1" applyBorder="1" applyAlignment="1">
      <alignment horizontal="center" vertical="center"/>
    </xf>
    <xf numFmtId="179" fontId="0" fillId="0" borderId="0" xfId="813" applyFont="1" applyFill="1" applyAlignment="1"/>
    <xf numFmtId="179" fontId="2" fillId="0" borderId="0" xfId="1383" applyNumberFormat="1" applyFill="1" applyAlignment="1"/>
    <xf numFmtId="0" fontId="11" fillId="0" borderId="0" xfId="1069" applyFont="1" applyFill="1"/>
    <xf numFmtId="0" fontId="11" fillId="0" borderId="0" xfId="1069" applyFont="1"/>
    <xf numFmtId="0" fontId="17" fillId="0" borderId="0" xfId="1069" applyFont="1"/>
    <xf numFmtId="43" fontId="11" fillId="0" borderId="0" xfId="3" applyFont="1" applyFill="1" applyBorder="1" applyAlignment="1" applyProtection="1"/>
    <xf numFmtId="0" fontId="17" fillId="0" borderId="0" xfId="1197" applyFont="1" applyAlignment="1">
      <alignment horizontal="right"/>
    </xf>
    <xf numFmtId="0" fontId="13" fillId="0" borderId="0" xfId="1069" applyFont="1" applyAlignment="1"/>
    <xf numFmtId="0" fontId="17" fillId="0" borderId="0" xfId="1197" applyFont="1"/>
    <xf numFmtId="0" fontId="11" fillId="0" borderId="0" xfId="1197" applyFont="1"/>
    <xf numFmtId="0" fontId="19" fillId="5" borderId="1" xfId="1197" applyFont="1" applyFill="1" applyBorder="1" applyAlignment="1">
      <alignment horizontal="center" vertical="center"/>
    </xf>
    <xf numFmtId="0" fontId="19" fillId="5" borderId="1" xfId="1197" applyFont="1" applyFill="1" applyBorder="1" applyAlignment="1">
      <alignment horizontal="center" vertical="center" wrapText="1"/>
    </xf>
    <xf numFmtId="0" fontId="17" fillId="5" borderId="1" xfId="1197" applyFont="1" applyFill="1" applyBorder="1" applyAlignment="1">
      <alignment horizontal="center"/>
    </xf>
    <xf numFmtId="0" fontId="17" fillId="0" borderId="31" xfId="1197" applyFont="1" applyBorder="1" applyAlignment="1">
      <alignment horizontal="center"/>
    </xf>
    <xf numFmtId="0" fontId="19" fillId="0" borderId="31" xfId="1197" applyFont="1" applyBorder="1"/>
    <xf numFmtId="0" fontId="17" fillId="0" borderId="31" xfId="1197" applyFont="1" applyBorder="1"/>
    <xf numFmtId="0" fontId="17" fillId="0" borderId="32" xfId="1197" applyFont="1" applyBorder="1" applyAlignment="1">
      <alignment horizontal="center"/>
    </xf>
    <xf numFmtId="0" fontId="17" fillId="0" borderId="32" xfId="1197" applyFont="1" applyBorder="1"/>
    <xf numFmtId="182" fontId="17" fillId="0" borderId="32" xfId="683" applyNumberFormat="1" applyFont="1" applyBorder="1"/>
    <xf numFmtId="43" fontId="17" fillId="0" borderId="32" xfId="1197" applyNumberFormat="1" applyFont="1" applyBorder="1"/>
    <xf numFmtId="0" fontId="17" fillId="0" borderId="33" xfId="1197" applyFont="1" applyBorder="1"/>
    <xf numFmtId="182" fontId="17" fillId="0" borderId="33" xfId="683" applyNumberFormat="1" applyFont="1" applyBorder="1"/>
    <xf numFmtId="0" fontId="17" fillId="0" borderId="1" xfId="1197" applyFont="1" applyBorder="1"/>
    <xf numFmtId="43" fontId="19" fillId="0" borderId="1" xfId="1197" applyNumberFormat="1" applyFont="1" applyBorder="1"/>
    <xf numFmtId="43" fontId="17" fillId="0" borderId="31" xfId="1197" applyNumberFormat="1" applyFont="1" applyBorder="1"/>
    <xf numFmtId="0" fontId="19" fillId="0" borderId="32" xfId="1197" applyFont="1" applyBorder="1"/>
    <xf numFmtId="0" fontId="17" fillId="0" borderId="6" xfId="1197" applyFont="1" applyBorder="1"/>
    <xf numFmtId="43" fontId="17" fillId="0" borderId="6" xfId="1197" applyNumberFormat="1" applyFont="1" applyBorder="1"/>
    <xf numFmtId="43" fontId="19" fillId="0" borderId="32" xfId="1197" applyNumberFormat="1" applyFont="1" applyBorder="1"/>
    <xf numFmtId="0" fontId="3" fillId="0" borderId="0" xfId="1197" applyFont="1" applyBorder="1" applyAlignment="1">
      <alignment vertical="center"/>
    </xf>
    <xf numFmtId="182" fontId="17" fillId="0" borderId="0" xfId="683" applyNumberFormat="1" applyFont="1"/>
    <xf numFmtId="43" fontId="17" fillId="0" borderId="0" xfId="1197" applyNumberFormat="1" applyFont="1"/>
    <xf numFmtId="182" fontId="17" fillId="0" borderId="0" xfId="1197" applyNumberFormat="1" applyFont="1"/>
    <xf numFmtId="179" fontId="17" fillId="0" borderId="0" xfId="1197" applyNumberFormat="1" applyFont="1"/>
    <xf numFmtId="0" fontId="19" fillId="0" borderId="31" xfId="1197" applyFont="1" applyBorder="1" applyAlignment="1">
      <alignment horizontal="left"/>
    </xf>
    <xf numFmtId="43" fontId="17" fillId="0" borderId="33" xfId="1197" applyNumberFormat="1" applyFont="1" applyBorder="1"/>
    <xf numFmtId="0" fontId="17" fillId="5" borderId="32" xfId="1197" applyFont="1" applyFill="1" applyBorder="1" applyAlignment="1">
      <alignment horizontal="center"/>
    </xf>
    <xf numFmtId="0" fontId="19" fillId="5" borderId="1" xfId="1197" applyFont="1" applyFill="1" applyBorder="1"/>
    <xf numFmtId="43" fontId="19" fillId="5" borderId="1" xfId="1197" applyNumberFormat="1" applyFont="1" applyFill="1" applyBorder="1"/>
    <xf numFmtId="0" fontId="17" fillId="0" borderId="34" xfId="1197" applyFont="1" applyBorder="1" applyAlignment="1">
      <alignment horizontal="center"/>
    </xf>
    <xf numFmtId="0" fontId="17" fillId="0" borderId="10" xfId="1197" applyFont="1" applyBorder="1"/>
    <xf numFmtId="43" fontId="17" fillId="0" borderId="0" xfId="700" applyFont="1"/>
    <xf numFmtId="0" fontId="17" fillId="0" borderId="0" xfId="1069" applyNumberFormat="1" applyFont="1" applyFill="1" applyBorder="1" applyAlignment="1" applyProtection="1">
      <alignment horizontal="right"/>
    </xf>
    <xf numFmtId="0" fontId="11" fillId="0" borderId="0" xfId="1069" applyNumberFormat="1" applyFont="1" applyFill="1" applyBorder="1" applyAlignment="1" applyProtection="1">
      <alignment horizontal="center"/>
    </xf>
    <xf numFmtId="0" fontId="11" fillId="0" borderId="0" xfId="1069" applyNumberFormat="1" applyFont="1" applyFill="1" applyBorder="1" applyAlignment="1" applyProtection="1"/>
    <xf numFmtId="182" fontId="11" fillId="0" borderId="0" xfId="1069" applyNumberFormat="1" applyFont="1" applyFill="1" applyBorder="1" applyAlignment="1" applyProtection="1">
      <alignment horizontal="center"/>
    </xf>
    <xf numFmtId="0" fontId="0" fillId="0" borderId="0" xfId="1069" applyNumberFormat="1" applyFont="1" applyFill="1" applyBorder="1" applyAlignment="1" applyProtection="1"/>
    <xf numFmtId="0" fontId="14" fillId="5" borderId="43" xfId="1069" applyNumberFormat="1" applyFont="1" applyFill="1" applyBorder="1" applyAlignment="1" applyProtection="1">
      <alignment horizontal="center" vertical="center" wrapText="1"/>
    </xf>
    <xf numFmtId="0" fontId="14" fillId="5" borderId="44" xfId="1069" applyNumberFormat="1" applyFont="1" applyFill="1" applyBorder="1" applyAlignment="1" applyProtection="1">
      <alignment horizontal="center" vertical="center" wrapText="1"/>
    </xf>
    <xf numFmtId="0" fontId="14" fillId="5" borderId="45" xfId="1069" applyNumberFormat="1" applyFont="1" applyFill="1" applyBorder="1" applyAlignment="1" applyProtection="1">
      <alignment horizontal="center" vertical="center" wrapText="1"/>
    </xf>
    <xf numFmtId="0" fontId="14" fillId="5" borderId="46" xfId="1069" applyNumberFormat="1" applyFont="1" applyFill="1" applyBorder="1" applyAlignment="1" applyProtection="1">
      <alignment horizontal="center"/>
    </xf>
    <xf numFmtId="0" fontId="14" fillId="5" borderId="47" xfId="1069" applyNumberFormat="1" applyFont="1" applyFill="1" applyBorder="1" applyAlignment="1" applyProtection="1">
      <alignment horizontal="center"/>
    </xf>
    <xf numFmtId="0" fontId="14" fillId="5" borderId="44" xfId="1069" applyNumberFormat="1" applyFont="1" applyFill="1" applyBorder="1" applyAlignment="1" applyProtection="1">
      <alignment horizontal="center"/>
    </xf>
    <xf numFmtId="0" fontId="17" fillId="0" borderId="39" xfId="1069" applyNumberFormat="1" applyFont="1" applyFill="1" applyBorder="1" applyAlignment="1" applyProtection="1"/>
    <xf numFmtId="0" fontId="17" fillId="0" borderId="0" xfId="1069" applyNumberFormat="1" applyFont="1" applyFill="1" applyBorder="1" applyAlignment="1" applyProtection="1"/>
    <xf numFmtId="0" fontId="17" fillId="0" borderId="40" xfId="1069" applyNumberFormat="1" applyFont="1" applyFill="1" applyBorder="1" applyAlignment="1" applyProtection="1"/>
    <xf numFmtId="0" fontId="17" fillId="0" borderId="39" xfId="1069" applyNumberFormat="1" applyFont="1" applyFill="1" applyBorder="1" applyAlignment="1" applyProtection="1">
      <alignment horizontal="center" vertical="center"/>
    </xf>
    <xf numFmtId="0" fontId="17" fillId="0" borderId="0" xfId="1069" applyNumberFormat="1" applyFont="1" applyFill="1" applyBorder="1" applyAlignment="1" applyProtection="1">
      <alignment vertical="center"/>
    </xf>
    <xf numFmtId="43" fontId="17" fillId="0" borderId="40" xfId="1069" applyNumberFormat="1" applyFont="1" applyFill="1" applyBorder="1" applyAlignment="1" applyProtection="1">
      <alignment horizontal="right" vertical="center"/>
    </xf>
    <xf numFmtId="0" fontId="17" fillId="0" borderId="0" xfId="1069" applyNumberFormat="1" applyFont="1" applyFill="1" applyBorder="1" applyAlignment="1" applyProtection="1">
      <alignment vertical="center" wrapText="1"/>
    </xf>
    <xf numFmtId="43" fontId="17" fillId="0" borderId="40" xfId="1069" applyNumberFormat="1" applyFont="1" applyFill="1" applyBorder="1" applyAlignment="1" applyProtection="1">
      <alignment vertical="center"/>
    </xf>
    <xf numFmtId="43" fontId="17" fillId="0" borderId="40" xfId="792" applyFont="1" applyBorder="1" applyAlignment="1">
      <alignment vertical="center"/>
    </xf>
    <xf numFmtId="0" fontId="19" fillId="0" borderId="48" xfId="1069" applyNumberFormat="1" applyFont="1" applyFill="1" applyBorder="1" applyAlignment="1" applyProtection="1">
      <alignment horizontal="right" vertical="center"/>
    </xf>
    <xf numFmtId="0" fontId="19" fillId="0" borderId="49" xfId="1069" applyNumberFormat="1" applyFont="1" applyFill="1" applyBorder="1" applyAlignment="1" applyProtection="1">
      <alignment horizontal="center" vertical="center"/>
    </xf>
    <xf numFmtId="43" fontId="19" fillId="0" borderId="49" xfId="1069" applyNumberFormat="1" applyFont="1" applyFill="1" applyBorder="1" applyAlignment="1" applyProtection="1">
      <alignment vertical="center"/>
    </xf>
    <xf numFmtId="44" fontId="17" fillId="0" borderId="0" xfId="1069" applyNumberFormat="1" applyFont="1" applyFill="1" applyBorder="1" applyAlignment="1" applyProtection="1"/>
    <xf numFmtId="0" fontId="14" fillId="5" borderId="52" xfId="1069" applyNumberFormat="1" applyFont="1" applyFill="1" applyBorder="1" applyAlignment="1" applyProtection="1">
      <alignment horizontal="center" vertical="center" wrapText="1"/>
    </xf>
    <xf numFmtId="43" fontId="17" fillId="3" borderId="40" xfId="1069" applyNumberFormat="1" applyFont="1" applyFill="1" applyBorder="1" applyAlignment="1" applyProtection="1">
      <alignment vertical="center"/>
    </xf>
    <xf numFmtId="179" fontId="17" fillId="0" borderId="0" xfId="1069" applyNumberFormat="1" applyFont="1" applyFill="1" applyBorder="1" applyAlignment="1" applyProtection="1"/>
    <xf numFmtId="179" fontId="11" fillId="0" borderId="0" xfId="1069" applyNumberFormat="1" applyFont="1" applyFill="1" applyBorder="1" applyAlignment="1" applyProtection="1"/>
    <xf numFmtId="43" fontId="17" fillId="3" borderId="40" xfId="1069" applyNumberFormat="1" applyFont="1" applyFill="1" applyBorder="1" applyAlignment="1" applyProtection="1">
      <alignment horizontal="center" vertical="center"/>
    </xf>
    <xf numFmtId="43" fontId="17" fillId="0" borderId="0" xfId="1069" applyNumberFormat="1" applyFont="1" applyFill="1" applyBorder="1" applyAlignment="1" applyProtection="1"/>
    <xf numFmtId="0" fontId="11" fillId="3" borderId="0" xfId="1100" applyFont="1" applyFill="1"/>
    <xf numFmtId="182" fontId="11" fillId="3" borderId="0" xfId="84" applyNumberFormat="1" applyFont="1" applyFill="1"/>
    <xf numFmtId="0" fontId="22" fillId="3" borderId="0" xfId="1100" applyFont="1" applyFill="1"/>
    <xf numFmtId="0" fontId="11" fillId="3" borderId="0" xfId="1100" applyFont="1" applyFill="1" applyAlignment="1">
      <alignment horizontal="center"/>
    </xf>
    <xf numFmtId="0" fontId="11" fillId="3" borderId="0" xfId="1100" applyFont="1" applyFill="1" applyAlignment="1">
      <alignment wrapText="1"/>
    </xf>
    <xf numFmtId="0" fontId="9" fillId="5" borderId="1" xfId="1100" applyFont="1" applyFill="1" applyBorder="1" applyAlignment="1">
      <alignment horizontal="center" vertical="center"/>
    </xf>
    <xf numFmtId="14" fontId="9" fillId="5" borderId="1" xfId="1100" applyNumberFormat="1" applyFont="1" applyFill="1" applyBorder="1" applyAlignment="1">
      <alignment horizontal="center" vertical="center" wrapText="1"/>
    </xf>
    <xf numFmtId="0" fontId="9" fillId="3" borderId="1" xfId="1100" applyFont="1" applyFill="1" applyBorder="1" applyAlignment="1">
      <alignment horizontal="center" vertical="center"/>
    </xf>
    <xf numFmtId="43" fontId="9" fillId="3" borderId="1" xfId="116" applyFont="1" applyFill="1" applyBorder="1" applyAlignment="1">
      <alignment vertical="center"/>
    </xf>
    <xf numFmtId="182" fontId="9" fillId="3" borderId="1" xfId="84" applyNumberFormat="1" applyFont="1" applyFill="1" applyBorder="1"/>
    <xf numFmtId="0" fontId="11" fillId="3" borderId="10" xfId="1100" applyFont="1" applyFill="1" applyBorder="1" applyAlignment="1">
      <alignment horizontal="center" vertical="center"/>
    </xf>
    <xf numFmtId="0" fontId="11" fillId="3" borderId="3" xfId="1100" applyFont="1" applyFill="1" applyBorder="1" applyAlignment="1">
      <alignment vertical="center" wrapText="1"/>
    </xf>
    <xf numFmtId="43" fontId="10" fillId="3" borderId="1" xfId="116" applyFont="1" applyFill="1" applyBorder="1" applyAlignment="1">
      <alignment vertical="center"/>
    </xf>
    <xf numFmtId="182" fontId="11" fillId="3" borderId="1" xfId="84" applyNumberFormat="1" applyFont="1" applyFill="1" applyBorder="1"/>
    <xf numFmtId="43" fontId="10" fillId="3" borderId="1" xfId="116" applyFont="1" applyFill="1" applyBorder="1" applyAlignment="1">
      <alignment horizontal="center" vertical="center"/>
    </xf>
    <xf numFmtId="0" fontId="11" fillId="3" borderId="1" xfId="1100" applyFont="1" applyFill="1" applyBorder="1" applyAlignment="1">
      <alignment horizontal="center" vertical="center"/>
    </xf>
    <xf numFmtId="0" fontId="11" fillId="3" borderId="4" xfId="1100" applyFont="1" applyFill="1" applyBorder="1" applyAlignment="1">
      <alignment vertical="center" wrapText="1"/>
    </xf>
    <xf numFmtId="0" fontId="11" fillId="3" borderId="2" xfId="1100" applyFont="1" applyFill="1" applyBorder="1" applyAlignment="1">
      <alignment horizontal="center" vertical="center"/>
    </xf>
    <xf numFmtId="0" fontId="14" fillId="3" borderId="1" xfId="1100" applyFont="1" applyFill="1" applyBorder="1" applyAlignment="1">
      <alignment horizontal="center" vertical="center"/>
    </xf>
    <xf numFmtId="0" fontId="14" fillId="3" borderId="10" xfId="1100" applyFont="1" applyFill="1" applyBorder="1" applyAlignment="1">
      <alignment horizontal="center" vertical="center"/>
    </xf>
    <xf numFmtId="43" fontId="14" fillId="3" borderId="10" xfId="116" applyFont="1" applyFill="1" applyBorder="1" applyAlignment="1">
      <alignment vertical="center"/>
    </xf>
    <xf numFmtId="0" fontId="11" fillId="3" borderId="53" xfId="1100" applyFont="1" applyFill="1" applyBorder="1" applyAlignment="1">
      <alignment vertical="center" wrapText="1"/>
    </xf>
    <xf numFmtId="43" fontId="11" fillId="3" borderId="10" xfId="116" applyFont="1" applyFill="1" applyBorder="1" applyAlignment="1">
      <alignment vertical="center"/>
    </xf>
    <xf numFmtId="43" fontId="11" fillId="3" borderId="10" xfId="116" applyFont="1" applyFill="1" applyBorder="1" applyAlignment="1">
      <alignment horizontal="center" vertical="center"/>
    </xf>
    <xf numFmtId="0" fontId="11" fillId="3" borderId="3" xfId="1100" applyFont="1" applyFill="1" applyBorder="1" applyAlignment="1">
      <alignment vertical="center"/>
    </xf>
    <xf numFmtId="43" fontId="11" fillId="3" borderId="4" xfId="116" applyFont="1" applyFill="1" applyBorder="1" applyAlignment="1">
      <alignment horizontal="center" vertical="center"/>
    </xf>
    <xf numFmtId="0" fontId="11" fillId="3" borderId="3" xfId="1100" applyFont="1" applyFill="1" applyBorder="1"/>
    <xf numFmtId="0" fontId="11" fillId="3" borderId="27" xfId="1100" applyFont="1" applyFill="1" applyBorder="1" applyAlignment="1">
      <alignment horizontal="center" vertical="center"/>
    </xf>
    <xf numFmtId="43" fontId="11" fillId="3" borderId="1" xfId="116" applyFont="1" applyFill="1" applyBorder="1" applyAlignment="1">
      <alignment horizontal="center" vertical="center"/>
    </xf>
    <xf numFmtId="43" fontId="11" fillId="3" borderId="4" xfId="116" applyFont="1" applyFill="1" applyBorder="1" applyAlignment="1">
      <alignment vertical="center"/>
    </xf>
    <xf numFmtId="0" fontId="11" fillId="3" borderId="3" xfId="1100" applyFont="1" applyFill="1" applyBorder="1" applyAlignment="1">
      <alignment wrapText="1"/>
    </xf>
    <xf numFmtId="182" fontId="11" fillId="3" borderId="1" xfId="84" applyNumberFormat="1" applyFont="1" applyFill="1" applyBorder="1" applyAlignment="1">
      <alignment vertical="center"/>
    </xf>
    <xf numFmtId="43" fontId="11" fillId="3" borderId="1" xfId="685" applyNumberFormat="1" applyFont="1" applyFill="1" applyBorder="1" applyAlignment="1">
      <alignment vertical="center"/>
    </xf>
    <xf numFmtId="174" fontId="11" fillId="3" borderId="54" xfId="1069" applyNumberFormat="1" applyFont="1" applyFill="1" applyBorder="1" applyAlignment="1">
      <alignment horizontal="left" vertical="center" wrapText="1"/>
    </xf>
    <xf numFmtId="182" fontId="11" fillId="3" borderId="10" xfId="84" applyNumberFormat="1" applyFont="1" applyFill="1" applyBorder="1" applyAlignment="1">
      <alignment vertical="center"/>
    </xf>
    <xf numFmtId="43" fontId="11" fillId="3" borderId="10" xfId="685" applyNumberFormat="1" applyFont="1" applyFill="1" applyBorder="1" applyAlignment="1">
      <alignment horizontal="center" vertical="center"/>
    </xf>
    <xf numFmtId="174" fontId="11" fillId="3" borderId="3" xfId="1069" applyNumberFormat="1" applyFont="1" applyFill="1" applyBorder="1" applyAlignment="1">
      <alignment horizontal="left" vertical="center" wrapText="1"/>
    </xf>
    <xf numFmtId="43" fontId="11" fillId="3" borderId="55" xfId="116" applyFont="1" applyFill="1" applyBorder="1" applyAlignment="1">
      <alignment horizontal="center" vertical="center"/>
    </xf>
    <xf numFmtId="0" fontId="11" fillId="3" borderId="55" xfId="1100" applyFont="1" applyFill="1" applyBorder="1" applyAlignment="1">
      <alignment vertical="center" wrapText="1"/>
    </xf>
    <xf numFmtId="0" fontId="11" fillId="3" borderId="4" xfId="1100" applyFont="1" applyFill="1" applyBorder="1" applyAlignment="1">
      <alignment wrapText="1"/>
    </xf>
    <xf numFmtId="182" fontId="11" fillId="3" borderId="4" xfId="84" applyNumberFormat="1" applyFont="1" applyFill="1" applyBorder="1" applyAlignment="1">
      <alignment vertical="center"/>
    </xf>
    <xf numFmtId="0" fontId="17" fillId="3" borderId="0" xfId="1100" applyFont="1" applyFill="1" applyAlignment="1">
      <alignment horizontal="right"/>
    </xf>
    <xf numFmtId="43" fontId="9" fillId="3" borderId="1" xfId="1100" applyNumberFormat="1" applyFont="1" applyFill="1" applyBorder="1" applyAlignment="1">
      <alignment vertical="center"/>
    </xf>
    <xf numFmtId="43" fontId="14" fillId="3" borderId="3" xfId="1100" applyNumberFormat="1" applyFont="1" applyFill="1" applyBorder="1" applyAlignment="1">
      <alignment vertical="center"/>
    </xf>
    <xf numFmtId="43" fontId="9" fillId="3" borderId="3" xfId="1100" applyNumberFormat="1" applyFont="1" applyFill="1" applyBorder="1" applyAlignment="1">
      <alignment vertical="center"/>
    </xf>
    <xf numFmtId="0" fontId="11" fillId="0" borderId="2" xfId="1100" applyFont="1" applyFill="1" applyBorder="1" applyAlignment="1">
      <alignment horizontal="center" vertical="center"/>
    </xf>
    <xf numFmtId="0" fontId="11" fillId="0" borderId="4" xfId="1100" applyFont="1" applyFill="1" applyBorder="1" applyAlignment="1">
      <alignment vertical="center" wrapText="1"/>
    </xf>
    <xf numFmtId="43" fontId="11" fillId="0" borderId="4" xfId="116" applyFont="1" applyFill="1" applyBorder="1" applyAlignment="1">
      <alignment vertical="center"/>
    </xf>
    <xf numFmtId="43" fontId="11" fillId="0" borderId="4" xfId="116" applyFont="1" applyFill="1" applyBorder="1" applyAlignment="1">
      <alignment horizontal="center" vertical="center"/>
    </xf>
    <xf numFmtId="43" fontId="9" fillId="5" borderId="1" xfId="116" applyFont="1" applyFill="1" applyBorder="1" applyAlignment="1">
      <alignment vertical="center"/>
    </xf>
    <xf numFmtId="41" fontId="9" fillId="5" borderId="1" xfId="84" applyFont="1" applyFill="1" applyBorder="1" applyAlignment="1">
      <alignment vertical="center"/>
    </xf>
    <xf numFmtId="41" fontId="11" fillId="3" borderId="0" xfId="84" applyFont="1" applyFill="1"/>
    <xf numFmtId="43" fontId="14" fillId="0" borderId="3" xfId="1100" applyNumberFormat="1" applyFont="1" applyFill="1" applyBorder="1" applyAlignment="1">
      <alignment vertical="center"/>
    </xf>
    <xf numFmtId="0" fontId="19" fillId="0" borderId="0" xfId="1069" applyFont="1" applyAlignment="1">
      <alignment horizontal="center" vertical="center"/>
    </xf>
    <xf numFmtId="0" fontId="0" fillId="0" borderId="0" xfId="1069" applyFont="1"/>
    <xf numFmtId="0" fontId="19" fillId="3" borderId="5" xfId="1210" applyFont="1" applyFill="1" applyBorder="1" applyAlignment="1">
      <alignment horizontal="center" vertical="center" wrapText="1"/>
    </xf>
    <xf numFmtId="43" fontId="19" fillId="3" borderId="1" xfId="579" applyFont="1" applyFill="1" applyBorder="1" applyAlignment="1">
      <alignment horizontal="center" vertical="center" wrapText="1"/>
    </xf>
    <xf numFmtId="0" fontId="24" fillId="0" borderId="1" xfId="1069" applyFont="1" applyBorder="1" applyAlignment="1">
      <alignment horizontal="center" vertical="center"/>
    </xf>
    <xf numFmtId="0" fontId="24" fillId="0" borderId="1" xfId="1069" applyFont="1" applyBorder="1" applyAlignment="1">
      <alignment horizontal="center" vertical="center" wrapText="1"/>
    </xf>
    <xf numFmtId="0" fontId="19" fillId="3" borderId="1" xfId="1210" applyFont="1" applyFill="1" applyBorder="1" applyAlignment="1">
      <alignment horizontal="center"/>
    </xf>
    <xf numFmtId="0" fontId="19" fillId="3" borderId="1" xfId="1210" applyFont="1" applyFill="1" applyBorder="1"/>
    <xf numFmtId="43" fontId="19" fillId="3" borderId="1" xfId="579" applyFont="1" applyFill="1" applyBorder="1"/>
    <xf numFmtId="0" fontId="25" fillId="0" borderId="1" xfId="0" applyFont="1" applyBorder="1"/>
    <xf numFmtId="0" fontId="17" fillId="3" borderId="1" xfId="1210" applyFont="1" applyFill="1" applyBorder="1" applyAlignment="1">
      <alignment horizontal="center"/>
    </xf>
    <xf numFmtId="0" fontId="17" fillId="3" borderId="1" xfId="1210" applyFont="1" applyFill="1" applyBorder="1"/>
    <xf numFmtId="4" fontId="17" fillId="0" borderId="1" xfId="1026" applyNumberFormat="1" applyFont="1" applyBorder="1"/>
    <xf numFmtId="179" fontId="26" fillId="0" borderId="1" xfId="704" applyNumberFormat="1" applyFont="1" applyBorder="1"/>
    <xf numFmtId="43" fontId="17" fillId="3" borderId="1" xfId="579" applyFont="1" applyFill="1" applyBorder="1"/>
    <xf numFmtId="43" fontId="4" fillId="3" borderId="1" xfId="579" applyFont="1" applyFill="1" applyBorder="1" applyAlignment="1">
      <alignment horizontal="center"/>
    </xf>
    <xf numFmtId="43" fontId="4" fillId="3" borderId="1" xfId="579" applyFont="1" applyFill="1" applyBorder="1"/>
    <xf numFmtId="43" fontId="27" fillId="3" borderId="1" xfId="579" applyFont="1" applyFill="1" applyBorder="1" applyAlignment="1">
      <alignment vertical="center"/>
    </xf>
    <xf numFmtId="43" fontId="27" fillId="0" borderId="1" xfId="579" applyFont="1" applyFill="1" applyBorder="1" applyAlignment="1">
      <alignment vertical="center"/>
    </xf>
    <xf numFmtId="43" fontId="0" fillId="0" borderId="0" xfId="3" applyFont="1"/>
    <xf numFmtId="43" fontId="0" fillId="0" borderId="0" xfId="1069" applyNumberFormat="1" applyFont="1"/>
    <xf numFmtId="0" fontId="14" fillId="0" borderId="0" xfId="1210" applyFont="1" applyAlignment="1"/>
    <xf numFmtId="0" fontId="0" fillId="0" borderId="0" xfId="1210" applyFont="1"/>
    <xf numFmtId="0" fontId="29" fillId="0" borderId="0" xfId="1069" applyFont="1" applyAlignment="1">
      <alignment horizontal="left" readingOrder="2"/>
    </xf>
    <xf numFmtId="4" fontId="25" fillId="0" borderId="1" xfId="0" applyNumberFormat="1" applyFont="1" applyBorder="1"/>
    <xf numFmtId="0" fontId="19" fillId="3" borderId="0" xfId="1210" applyFont="1" applyFill="1" applyAlignment="1">
      <alignment horizontal="center" vertical="center"/>
    </xf>
    <xf numFmtId="0" fontId="17" fillId="0" borderId="0" xfId="1210" applyFont="1"/>
    <xf numFmtId="4" fontId="17" fillId="0" borderId="0" xfId="1210" applyNumberFormat="1" applyFont="1"/>
    <xf numFmtId="4" fontId="25" fillId="0" borderId="0" xfId="0" applyNumberFormat="1" applyFont="1"/>
    <xf numFmtId="4" fontId="0" fillId="0" borderId="0" xfId="1069" applyNumberFormat="1" applyFont="1"/>
    <xf numFmtId="0" fontId="15" fillId="3" borderId="0" xfId="1100" applyFont="1" applyFill="1"/>
    <xf numFmtId="0" fontId="16" fillId="3" borderId="0" xfId="1100" applyFont="1" applyFill="1"/>
    <xf numFmtId="0" fontId="16" fillId="3" borderId="0" xfId="1100" applyFont="1" applyFill="1" applyBorder="1"/>
    <xf numFmtId="0" fontId="11" fillId="0" borderId="0" xfId="1100" applyFont="1" applyFill="1"/>
    <xf numFmtId="0" fontId="10" fillId="3" borderId="0" xfId="1100" applyFont="1" applyFill="1" applyAlignment="1">
      <alignment horizontal="center"/>
    </xf>
    <xf numFmtId="0" fontId="10" fillId="3" borderId="0" xfId="1100" applyFont="1" applyFill="1"/>
    <xf numFmtId="0" fontId="30" fillId="5" borderId="1" xfId="1100" applyFont="1" applyFill="1" applyBorder="1" applyAlignment="1">
      <alignment horizontal="center" vertical="center"/>
    </xf>
    <xf numFmtId="0" fontId="30" fillId="5" borderId="1" xfId="1100" applyFont="1" applyFill="1" applyBorder="1" applyAlignment="1">
      <alignment horizontal="center" vertical="center" wrapText="1"/>
    </xf>
    <xf numFmtId="0" fontId="15" fillId="0" borderId="0" xfId="1100" applyFont="1" applyFill="1"/>
    <xf numFmtId="0" fontId="15" fillId="3" borderId="5" xfId="1100" applyFont="1" applyFill="1" applyBorder="1" applyAlignment="1">
      <alignment horizontal="center"/>
    </xf>
    <xf numFmtId="43" fontId="15" fillId="3" borderId="1" xfId="1100" applyNumberFormat="1" applyFont="1" applyFill="1" applyBorder="1"/>
    <xf numFmtId="0" fontId="16" fillId="0" borderId="0" xfId="1100" applyFont="1" applyFill="1"/>
    <xf numFmtId="0" fontId="16" fillId="3" borderId="6" xfId="1100" applyFont="1" applyFill="1" applyBorder="1" applyAlignment="1">
      <alignment horizontal="center"/>
    </xf>
    <xf numFmtId="0" fontId="16" fillId="3" borderId="6" xfId="1100" applyFont="1" applyFill="1" applyBorder="1" applyAlignment="1">
      <alignment wrapText="1"/>
    </xf>
    <xf numFmtId="43" fontId="16" fillId="3" borderId="6" xfId="1100" applyNumberFormat="1" applyFont="1" applyFill="1" applyBorder="1"/>
    <xf numFmtId="0" fontId="15" fillId="3" borderId="6" xfId="1100" applyFont="1" applyFill="1" applyBorder="1" applyAlignment="1">
      <alignment horizontal="center"/>
    </xf>
    <xf numFmtId="0" fontId="23" fillId="3" borderId="0" xfId="1100" applyFont="1" applyFill="1" applyAlignment="1"/>
    <xf numFmtId="0" fontId="28" fillId="3" borderId="0" xfId="1100" applyFont="1" applyFill="1" applyAlignment="1">
      <alignment horizontal="center"/>
    </xf>
    <xf numFmtId="43" fontId="15" fillId="0" borderId="1" xfId="1100" applyNumberFormat="1" applyFont="1" applyFill="1" applyBorder="1"/>
    <xf numFmtId="43" fontId="16" fillId="3" borderId="6" xfId="96" applyNumberFormat="1" applyFont="1" applyFill="1" applyBorder="1"/>
    <xf numFmtId="0" fontId="16" fillId="3" borderId="6" xfId="1100" applyFont="1" applyFill="1" applyBorder="1" applyAlignment="1">
      <alignment horizontal="center" vertical="center"/>
    </xf>
    <xf numFmtId="0" fontId="16" fillId="3" borderId="6" xfId="1100" applyFont="1" applyFill="1" applyBorder="1" applyAlignment="1">
      <alignment horizontal="left" wrapText="1"/>
    </xf>
    <xf numFmtId="0" fontId="16" fillId="3" borderId="6" xfId="1100" applyFont="1" applyFill="1" applyBorder="1" applyAlignment="1">
      <alignment horizontal="center" vertical="top"/>
    </xf>
    <xf numFmtId="0" fontId="16" fillId="0" borderId="0" xfId="1100" applyFont="1" applyFill="1" applyBorder="1"/>
    <xf numFmtId="0" fontId="16" fillId="3" borderId="16" xfId="1100" applyFont="1" applyFill="1" applyBorder="1" applyAlignment="1">
      <alignment horizontal="center"/>
    </xf>
    <xf numFmtId="0" fontId="16" fillId="3" borderId="56" xfId="1100" applyFont="1" applyFill="1" applyBorder="1" applyAlignment="1">
      <alignment wrapText="1"/>
    </xf>
    <xf numFmtId="43" fontId="15" fillId="5" borderId="60" xfId="1100" applyNumberFormat="1" applyFont="1" applyFill="1" applyBorder="1"/>
    <xf numFmtId="0" fontId="16" fillId="3" borderId="10" xfId="1100" applyFont="1" applyFill="1" applyBorder="1" applyAlignment="1">
      <alignment horizontal="center"/>
    </xf>
    <xf numFmtId="0" fontId="16" fillId="3" borderId="10" xfId="1100" applyFont="1" applyFill="1" applyBorder="1" applyAlignment="1">
      <alignment wrapText="1"/>
    </xf>
    <xf numFmtId="43" fontId="16" fillId="3" borderId="10" xfId="1100" applyNumberFormat="1" applyFont="1" applyFill="1" applyBorder="1"/>
    <xf numFmtId="43" fontId="11" fillId="3" borderId="0" xfId="1100" applyNumberFormat="1" applyFont="1" applyFill="1"/>
    <xf numFmtId="0" fontId="10" fillId="0" borderId="0" xfId="1069" applyFont="1" applyFill="1" applyAlignment="1">
      <alignment horizontal="right"/>
    </xf>
    <xf numFmtId="0" fontId="11" fillId="3" borderId="0" xfId="1197" applyFont="1" applyFill="1"/>
    <xf numFmtId="0" fontId="17" fillId="0" borderId="0" xfId="1197" applyFont="1" applyAlignment="1">
      <alignment horizontal="center" vertical="center" wrapText="1"/>
    </xf>
    <xf numFmtId="0" fontId="19" fillId="0" borderId="0" xfId="1197" applyFont="1"/>
    <xf numFmtId="0" fontId="11" fillId="0" borderId="0" xfId="1153" applyFont="1"/>
    <xf numFmtId="0" fontId="16" fillId="5" borderId="63" xfId="1153" applyFont="1" applyFill="1" applyBorder="1" applyAlignment="1">
      <alignment horizontal="center"/>
    </xf>
    <xf numFmtId="0" fontId="16" fillId="5" borderId="23" xfId="1153" applyFont="1" applyFill="1" applyBorder="1" applyAlignment="1">
      <alignment horizontal="center"/>
    </xf>
    <xf numFmtId="0" fontId="16" fillId="5" borderId="24" xfId="1153" applyFont="1" applyFill="1" applyBorder="1" applyAlignment="1">
      <alignment horizontal="center"/>
    </xf>
    <xf numFmtId="0" fontId="11" fillId="0" borderId="64" xfId="1153" applyFont="1" applyBorder="1" applyAlignment="1">
      <alignment horizontal="center"/>
    </xf>
    <xf numFmtId="0" fontId="11" fillId="0" borderId="65" xfId="1153" applyFont="1" applyBorder="1" applyAlignment="1">
      <alignment horizontal="center"/>
    </xf>
    <xf numFmtId="0" fontId="11" fillId="0" borderId="66" xfId="1153" applyFont="1" applyBorder="1" applyAlignment="1">
      <alignment horizontal="center"/>
    </xf>
    <xf numFmtId="0" fontId="11" fillId="0" borderId="67" xfId="1153" applyFont="1" applyBorder="1" applyAlignment="1">
      <alignment horizontal="center"/>
    </xf>
    <xf numFmtId="0" fontId="17" fillId="0" borderId="68" xfId="1153" applyFont="1" applyBorder="1" applyAlignment="1">
      <alignment horizontal="center" vertical="top"/>
    </xf>
    <xf numFmtId="0" fontId="17" fillId="0" borderId="69" xfId="1153" applyFont="1" applyBorder="1" applyAlignment="1">
      <alignment horizontal="justify" vertical="top" wrapText="1"/>
    </xf>
    <xf numFmtId="0" fontId="17" fillId="0" borderId="70" xfId="1153" applyFont="1" applyBorder="1" applyAlignment="1">
      <alignment horizontal="left" vertical="center" wrapText="1"/>
    </xf>
    <xf numFmtId="0" fontId="17" fillId="0" borderId="33" xfId="1153" applyFont="1" applyBorder="1" applyAlignment="1">
      <alignment horizontal="center"/>
    </xf>
    <xf numFmtId="43" fontId="17" fillId="0" borderId="71" xfId="1153" applyNumberFormat="1" applyFont="1" applyBorder="1" applyAlignment="1">
      <alignment horizontal="left" vertical="center" wrapText="1"/>
    </xf>
    <xf numFmtId="0" fontId="11" fillId="0" borderId="31" xfId="1153" applyFont="1" applyBorder="1" applyAlignment="1">
      <alignment horizontal="center"/>
    </xf>
    <xf numFmtId="43" fontId="17" fillId="0" borderId="70" xfId="1153" applyNumberFormat="1" applyFont="1" applyBorder="1" applyAlignment="1">
      <alignment horizontal="left" wrapText="1"/>
    </xf>
    <xf numFmtId="43" fontId="17" fillId="0" borderId="32" xfId="96" applyNumberFormat="1" applyFont="1" applyBorder="1" applyAlignment="1"/>
    <xf numFmtId="0" fontId="17" fillId="0" borderId="72" xfId="1153" applyFont="1" applyBorder="1" applyAlignment="1">
      <alignment horizontal="center" vertical="center"/>
    </xf>
    <xf numFmtId="0" fontId="17" fillId="0" borderId="69" xfId="1153" applyFont="1" applyBorder="1" applyAlignment="1">
      <alignment vertical="center"/>
    </xf>
    <xf numFmtId="0" fontId="17" fillId="0" borderId="70" xfId="1153" applyFont="1" applyBorder="1" applyAlignment="1">
      <alignment horizontal="left" vertical="center"/>
    </xf>
    <xf numFmtId="0" fontId="17" fillId="0" borderId="32" xfId="1153" applyFont="1" applyBorder="1" applyAlignment="1">
      <alignment horizontal="center" vertical="center"/>
    </xf>
    <xf numFmtId="43" fontId="17" fillId="0" borderId="70" xfId="1153" applyNumberFormat="1" applyFont="1" applyBorder="1" applyAlignment="1">
      <alignment horizontal="left" vertical="center"/>
    </xf>
    <xf numFmtId="43" fontId="17" fillId="0" borderId="32" xfId="96" applyNumberFormat="1" applyFont="1" applyBorder="1" applyAlignment="1">
      <alignment vertical="center"/>
    </xf>
    <xf numFmtId="0" fontId="17" fillId="0" borderId="72" xfId="1153" applyFont="1" applyBorder="1" applyAlignment="1">
      <alignment horizontal="center" vertical="top"/>
    </xf>
    <xf numFmtId="0" fontId="17" fillId="0" borderId="69" xfId="1153" applyFont="1" applyBorder="1" applyAlignment="1"/>
    <xf numFmtId="0" fontId="17" fillId="0" borderId="32" xfId="1153" applyFont="1" applyBorder="1" applyAlignment="1">
      <alignment horizontal="center" vertical="top"/>
    </xf>
    <xf numFmtId="0" fontId="12" fillId="0" borderId="69" xfId="1153" applyFont="1" applyBorder="1" applyAlignment="1">
      <alignment vertical="top"/>
    </xf>
    <xf numFmtId="0" fontId="17" fillId="0" borderId="33" xfId="1153" applyFont="1" applyBorder="1" applyAlignment="1">
      <alignment horizontal="center" vertical="top"/>
    </xf>
    <xf numFmtId="43" fontId="17" fillId="0" borderId="70" xfId="1153" applyNumberFormat="1" applyFont="1" applyBorder="1" applyAlignment="1">
      <alignment horizontal="left" vertical="center" wrapText="1"/>
    </xf>
    <xf numFmtId="0" fontId="12" fillId="0" borderId="70" xfId="1153" applyFont="1" applyBorder="1" applyAlignment="1">
      <alignment horizontal="left" vertical="center" wrapText="1"/>
    </xf>
    <xf numFmtId="43" fontId="12" fillId="0" borderId="70" xfId="1153" applyNumberFormat="1" applyFont="1" applyBorder="1" applyAlignment="1">
      <alignment horizontal="left" vertical="center" wrapText="1"/>
    </xf>
    <xf numFmtId="43" fontId="12" fillId="0" borderId="32" xfId="96" applyNumberFormat="1" applyFont="1" applyBorder="1" applyAlignment="1"/>
    <xf numFmtId="0" fontId="32" fillId="0" borderId="73" xfId="1153" applyFont="1" applyFill="1" applyBorder="1" applyAlignment="1">
      <alignment horizontal="center" vertical="top"/>
    </xf>
    <xf numFmtId="0" fontId="32" fillId="0" borderId="69" xfId="1153" applyFont="1" applyFill="1" applyBorder="1" applyAlignment="1">
      <alignment vertical="top"/>
    </xf>
    <xf numFmtId="0" fontId="17" fillId="0" borderId="70" xfId="1153" applyFont="1" applyFill="1" applyBorder="1" applyAlignment="1">
      <alignment horizontal="left" vertical="center" wrapText="1"/>
    </xf>
    <xf numFmtId="0" fontId="17" fillId="0" borderId="31" xfId="1153" applyFont="1" applyFill="1" applyBorder="1" applyAlignment="1">
      <alignment horizontal="center"/>
    </xf>
    <xf numFmtId="43" fontId="17" fillId="0" borderId="70" xfId="1153" applyNumberFormat="1" applyFont="1" applyFill="1" applyBorder="1" applyAlignment="1">
      <alignment horizontal="left" wrapText="1"/>
    </xf>
    <xf numFmtId="43" fontId="17" fillId="0" borderId="32" xfId="96" applyNumberFormat="1" applyFont="1" applyFill="1" applyBorder="1" applyAlignment="1"/>
    <xf numFmtId="0" fontId="17" fillId="0" borderId="69" xfId="1153" applyFont="1" applyBorder="1" applyAlignment="1">
      <alignment vertical="top"/>
    </xf>
    <xf numFmtId="0" fontId="17" fillId="0" borderId="32" xfId="1153" applyFont="1" applyBorder="1" applyAlignment="1">
      <alignment horizontal="center"/>
    </xf>
    <xf numFmtId="0" fontId="17" fillId="0" borderId="73" xfId="1153" applyFont="1" applyBorder="1" applyAlignment="1">
      <alignment horizontal="center" vertical="top"/>
    </xf>
    <xf numFmtId="0" fontId="17" fillId="0" borderId="74" xfId="1153" applyFont="1" applyBorder="1" applyAlignment="1">
      <alignment vertical="top"/>
    </xf>
    <xf numFmtId="0" fontId="17" fillId="0" borderId="71" xfId="1153" applyFont="1" applyBorder="1" applyAlignment="1">
      <alignment horizontal="left" vertical="center" wrapText="1"/>
    </xf>
    <xf numFmtId="0" fontId="17" fillId="0" borderId="31" xfId="1153" applyFont="1" applyBorder="1" applyAlignment="1">
      <alignment horizontal="center"/>
    </xf>
    <xf numFmtId="43" fontId="17" fillId="0" borderId="71" xfId="1153" applyNumberFormat="1" applyFont="1" applyBorder="1" applyAlignment="1">
      <alignment horizontal="left" wrapText="1"/>
    </xf>
    <xf numFmtId="43" fontId="17" fillId="0" borderId="31" xfId="96" applyNumberFormat="1" applyFont="1" applyBorder="1" applyAlignment="1"/>
    <xf numFmtId="0" fontId="17" fillId="0" borderId="72" xfId="1153" applyFont="1" applyFill="1" applyBorder="1" applyAlignment="1">
      <alignment horizontal="center" vertical="top"/>
    </xf>
    <xf numFmtId="0" fontId="17" fillId="0" borderId="75" xfId="1153" applyFont="1" applyFill="1" applyBorder="1" applyAlignment="1">
      <alignment vertical="top"/>
    </xf>
    <xf numFmtId="0" fontId="17" fillId="0" borderId="70" xfId="1153" applyFont="1" applyFill="1" applyBorder="1" applyAlignment="1">
      <alignment horizontal="left" vertical="top" wrapText="1"/>
    </xf>
    <xf numFmtId="0" fontId="17" fillId="0" borderId="33" xfId="1153" applyFont="1" applyFill="1" applyBorder="1" applyAlignment="1">
      <alignment horizontal="center"/>
    </xf>
    <xf numFmtId="43" fontId="17" fillId="0" borderId="33" xfId="96" applyNumberFormat="1" applyFont="1" applyFill="1" applyBorder="1" applyAlignment="1"/>
    <xf numFmtId="0" fontId="17" fillId="0" borderId="76" xfId="1153" applyFont="1" applyBorder="1" applyAlignment="1">
      <alignment horizontal="center"/>
    </xf>
    <xf numFmtId="0" fontId="17" fillId="0" borderId="77" xfId="1153" applyFont="1" applyBorder="1" applyAlignment="1"/>
    <xf numFmtId="0" fontId="17" fillId="0" borderId="78" xfId="1153" applyFont="1" applyBorder="1"/>
    <xf numFmtId="0" fontId="17" fillId="0" borderId="34" xfId="1153" applyFont="1" applyBorder="1"/>
    <xf numFmtId="43" fontId="17" fillId="0" borderId="78" xfId="1153" applyNumberFormat="1" applyFont="1" applyBorder="1"/>
    <xf numFmtId="43" fontId="17" fillId="0" borderId="34" xfId="1153" applyNumberFormat="1" applyFont="1" applyBorder="1"/>
    <xf numFmtId="0" fontId="17" fillId="0" borderId="63" xfId="1153" applyFont="1" applyBorder="1"/>
    <xf numFmtId="0" fontId="17" fillId="0" borderId="23" xfId="1153" applyFont="1" applyBorder="1"/>
    <xf numFmtId="0" fontId="17" fillId="0" borderId="79" xfId="1153" applyFont="1" applyBorder="1"/>
    <xf numFmtId="0" fontId="17" fillId="0" borderId="24" xfId="1153" applyFont="1" applyBorder="1"/>
    <xf numFmtId="43" fontId="17" fillId="0" borderId="24" xfId="1153" applyNumberFormat="1" applyFont="1" applyBorder="1"/>
    <xf numFmtId="169" fontId="4" fillId="0" borderId="0" xfId="6" applyNumberFormat="1" applyFont="1"/>
    <xf numFmtId="41" fontId="17" fillId="0" borderId="0" xfId="84" applyFont="1"/>
    <xf numFmtId="169" fontId="4" fillId="0" borderId="1" xfId="6" applyNumberFormat="1" applyFont="1" applyBorder="1" applyAlignment="1">
      <alignment horizontal="center" vertical="center" wrapText="1"/>
    </xf>
    <xf numFmtId="41" fontId="17" fillId="0" borderId="0" xfId="84" applyFont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164" fontId="4" fillId="0" borderId="1" xfId="6" applyNumberFormat="1" applyFont="1" applyBorder="1"/>
    <xf numFmtId="185" fontId="4" fillId="0" borderId="1" xfId="6" applyNumberFormat="1" applyFont="1" applyBorder="1"/>
    <xf numFmtId="169" fontId="4" fillId="0" borderId="1" xfId="6" applyNumberFormat="1" applyFont="1" applyBorder="1"/>
    <xf numFmtId="164" fontId="33" fillId="0" borderId="1" xfId="0" applyNumberFormat="1" applyFont="1" applyBorder="1"/>
    <xf numFmtId="172" fontId="33" fillId="0" borderId="1" xfId="0" applyNumberFormat="1" applyFont="1" applyBorder="1"/>
    <xf numFmtId="164" fontId="33" fillId="0" borderId="1" xfId="6" applyNumberFormat="1" applyFont="1" applyBorder="1"/>
    <xf numFmtId="41" fontId="19" fillId="0" borderId="0" xfId="84" applyFont="1"/>
    <xf numFmtId="0" fontId="4" fillId="0" borderId="0" xfId="0" applyFont="1"/>
    <xf numFmtId="172" fontId="4" fillId="0" borderId="1" xfId="0" applyNumberFormat="1" applyFont="1" applyBorder="1"/>
    <xf numFmtId="164" fontId="4" fillId="0" borderId="1" xfId="6" applyNumberFormat="1" applyFont="1" applyFill="1" applyBorder="1"/>
    <xf numFmtId="186" fontId="17" fillId="0" borderId="0" xfId="84" applyNumberFormat="1" applyFont="1"/>
    <xf numFmtId="0" fontId="16" fillId="5" borderId="79" xfId="1153" applyFont="1" applyFill="1" applyBorder="1" applyAlignment="1">
      <alignment horizontal="center"/>
    </xf>
    <xf numFmtId="0" fontId="16" fillId="5" borderId="25" xfId="1153" applyFont="1" applyFill="1" applyBorder="1" applyAlignment="1">
      <alignment horizontal="center"/>
    </xf>
    <xf numFmtId="0" fontId="11" fillId="0" borderId="82" xfId="1153" applyFont="1" applyBorder="1" applyAlignment="1">
      <alignment horizontal="center"/>
    </xf>
    <xf numFmtId="0" fontId="11" fillId="0" borderId="71" xfId="1153" applyFont="1" applyBorder="1" applyAlignment="1">
      <alignment horizontal="center"/>
    </xf>
    <xf numFmtId="0" fontId="11" fillId="0" borderId="83" xfId="1153" applyFont="1" applyBorder="1" applyAlignment="1">
      <alignment horizontal="center"/>
    </xf>
    <xf numFmtId="43" fontId="17" fillId="0" borderId="70" xfId="96" applyNumberFormat="1" applyFont="1" applyBorder="1" applyAlignment="1"/>
    <xf numFmtId="43" fontId="17" fillId="0" borderId="32" xfId="84" applyNumberFormat="1" applyFont="1" applyBorder="1" applyAlignment="1"/>
    <xf numFmtId="10" fontId="17" fillId="0" borderId="32" xfId="84" applyNumberFormat="1" applyFont="1" applyBorder="1" applyAlignment="1">
      <alignment horizontal="center"/>
    </xf>
    <xf numFmtId="41" fontId="17" fillId="0" borderId="84" xfId="84" applyNumberFormat="1" applyFont="1" applyBorder="1" applyAlignment="1">
      <alignment horizontal="center"/>
    </xf>
    <xf numFmtId="43" fontId="17" fillId="0" borderId="70" xfId="96" applyNumberFormat="1" applyFont="1" applyBorder="1" applyAlignment="1">
      <alignment vertical="center"/>
    </xf>
    <xf numFmtId="43" fontId="17" fillId="0" borderId="32" xfId="84" applyNumberFormat="1" applyFont="1" applyBorder="1" applyAlignment="1">
      <alignment vertical="center"/>
    </xf>
    <xf numFmtId="10" fontId="17" fillId="0" borderId="32" xfId="84" applyNumberFormat="1" applyFont="1" applyBorder="1" applyAlignment="1">
      <alignment horizontal="center" vertical="center"/>
    </xf>
    <xf numFmtId="43" fontId="12" fillId="0" borderId="70" xfId="96" applyNumberFormat="1" applyFont="1" applyBorder="1" applyAlignment="1"/>
    <xf numFmtId="43" fontId="12" fillId="0" borderId="32" xfId="84" applyNumberFormat="1" applyFont="1" applyBorder="1" applyAlignment="1"/>
    <xf numFmtId="10" fontId="12" fillId="0" borderId="32" xfId="84" applyNumberFormat="1" applyFont="1" applyBorder="1" applyAlignment="1">
      <alignment horizontal="center"/>
    </xf>
    <xf numFmtId="43" fontId="17" fillId="0" borderId="70" xfId="96" applyNumberFormat="1" applyFont="1" applyFill="1" applyBorder="1" applyAlignment="1"/>
    <xf numFmtId="0" fontId="34" fillId="0" borderId="0" xfId="1197" applyFont="1"/>
    <xf numFmtId="41" fontId="12" fillId="0" borderId="84" xfId="84" applyNumberFormat="1" applyFont="1" applyBorder="1" applyAlignment="1">
      <alignment horizontal="center"/>
    </xf>
    <xf numFmtId="43" fontId="17" fillId="0" borderId="71" xfId="96" applyNumberFormat="1" applyFont="1" applyBorder="1" applyAlignment="1"/>
    <xf numFmtId="43" fontId="17" fillId="0" borderId="85" xfId="96" applyNumberFormat="1" applyFont="1" applyFill="1" applyBorder="1" applyAlignment="1"/>
    <xf numFmtId="10" fontId="17" fillId="0" borderId="34" xfId="1153" applyNumberFormat="1" applyFont="1" applyBorder="1" applyAlignment="1">
      <alignment horizontal="center"/>
    </xf>
    <xf numFmtId="41" fontId="17" fillId="0" borderId="86" xfId="1153" applyNumberFormat="1" applyFont="1" applyBorder="1" applyAlignment="1">
      <alignment horizontal="center"/>
    </xf>
    <xf numFmtId="43" fontId="17" fillId="0" borderId="79" xfId="1153" applyNumberFormat="1" applyFont="1" applyBorder="1"/>
    <xf numFmtId="10" fontId="17" fillId="0" borderId="24" xfId="1153" applyNumberFormat="1" applyFont="1" applyBorder="1" applyAlignment="1">
      <alignment horizontal="center"/>
    </xf>
    <xf numFmtId="41" fontId="17" fillId="0" borderId="25" xfId="1153" applyNumberFormat="1" applyFont="1" applyBorder="1" applyAlignment="1">
      <alignment horizontal="center"/>
    </xf>
    <xf numFmtId="43" fontId="17" fillId="0" borderId="0" xfId="84" applyNumberFormat="1" applyFont="1"/>
    <xf numFmtId="43" fontId="17" fillId="0" borderId="0" xfId="84" applyNumberFormat="1" applyFont="1" applyAlignment="1">
      <alignment horizontal="center" vertical="center" wrapText="1"/>
    </xf>
    <xf numFmtId="43" fontId="17" fillId="0" borderId="0" xfId="1197" applyNumberFormat="1" applyFont="1" applyAlignment="1">
      <alignment horizontal="center" vertical="center" wrapText="1"/>
    </xf>
    <xf numFmtId="43" fontId="19" fillId="0" borderId="0" xfId="84" applyNumberFormat="1" applyFont="1"/>
    <xf numFmtId="43" fontId="19" fillId="0" borderId="0" xfId="1197" applyNumberFormat="1" applyFont="1"/>
    <xf numFmtId="0" fontId="31" fillId="0" borderId="0" xfId="0" applyFont="1"/>
    <xf numFmtId="0" fontId="31" fillId="0" borderId="0" xfId="0" applyFont="1" applyBorder="1"/>
    <xf numFmtId="0" fontId="35" fillId="0" borderId="0" xfId="1026" applyFont="1"/>
    <xf numFmtId="0" fontId="36" fillId="0" borderId="0" xfId="1026" applyFont="1" applyAlignment="1">
      <alignment vertical="center"/>
    </xf>
    <xf numFmtId="0" fontId="37" fillId="0" borderId="0" xfId="1026" applyFont="1"/>
    <xf numFmtId="0" fontId="36" fillId="0" borderId="0" xfId="1026" applyFont="1" applyAlignment="1">
      <alignment horizontal="center" vertical="center"/>
    </xf>
    <xf numFmtId="0" fontId="36" fillId="0" borderId="0" xfId="1026" applyFont="1"/>
    <xf numFmtId="0" fontId="23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18" fillId="0" borderId="90" xfId="1026" applyFont="1" applyFill="1" applyBorder="1" applyAlignment="1">
      <alignment horizontal="center" vertical="center"/>
    </xf>
    <xf numFmtId="0" fontId="18" fillId="0" borderId="91" xfId="1026" applyFont="1" applyFill="1" applyBorder="1" applyAlignment="1">
      <alignment horizontal="center" vertical="center"/>
    </xf>
    <xf numFmtId="0" fontId="18" fillId="0" borderId="91" xfId="1026" applyFont="1" applyFill="1" applyBorder="1" applyAlignment="1">
      <alignment horizontal="center" vertical="center" wrapText="1"/>
    </xf>
    <xf numFmtId="0" fontId="38" fillId="0" borderId="93" xfId="1026" applyFont="1" applyFill="1" applyBorder="1" applyAlignment="1">
      <alignment horizontal="center" vertical="center" wrapText="1"/>
    </xf>
    <xf numFmtId="0" fontId="35" fillId="0" borderId="90" xfId="1026" applyFont="1" applyFill="1" applyBorder="1" applyAlignment="1">
      <alignment horizontal="center" vertical="center"/>
    </xf>
    <xf numFmtId="0" fontId="35" fillId="0" borderId="90" xfId="1026" applyFont="1" applyFill="1" applyBorder="1" applyAlignment="1">
      <alignment horizontal="center" vertical="center" wrapText="1"/>
    </xf>
    <xf numFmtId="0" fontId="35" fillId="0" borderId="94" xfId="1026" applyFont="1" applyFill="1" applyBorder="1" applyAlignment="1">
      <alignment horizontal="center" vertical="center"/>
    </xf>
    <xf numFmtId="0" fontId="35" fillId="0" borderId="95" xfId="1026" applyFont="1" applyFill="1" applyBorder="1" applyAlignment="1">
      <alignment horizontal="center" vertical="center" wrapText="1"/>
    </xf>
    <xf numFmtId="0" fontId="39" fillId="8" borderId="96" xfId="1026" applyFont="1" applyFill="1" applyBorder="1" applyAlignment="1">
      <alignment horizontal="center" vertical="center"/>
    </xf>
    <xf numFmtId="0" fontId="39" fillId="8" borderId="96" xfId="1026" applyFont="1" applyFill="1" applyBorder="1" applyAlignment="1">
      <alignment horizontal="center" vertical="center" wrapText="1"/>
    </xf>
    <xf numFmtId="0" fontId="36" fillId="8" borderId="96" xfId="1026" applyFont="1" applyFill="1" applyBorder="1" applyAlignment="1">
      <alignment horizontal="center" vertical="center" wrapText="1"/>
    </xf>
    <xf numFmtId="187" fontId="36" fillId="8" borderId="96" xfId="1026" applyNumberFormat="1" applyFont="1" applyFill="1" applyBorder="1" applyAlignment="1">
      <alignment horizontal="center" vertical="center"/>
    </xf>
    <xf numFmtId="187" fontId="39" fillId="8" borderId="96" xfId="1026" applyNumberFormat="1" applyFont="1" applyFill="1" applyBorder="1" applyAlignment="1">
      <alignment horizontal="center" vertical="center"/>
    </xf>
    <xf numFmtId="0" fontId="36" fillId="0" borderId="90" xfId="1026" applyFont="1" applyFill="1" applyBorder="1" applyAlignment="1">
      <alignment vertical="center" wrapText="1"/>
    </xf>
    <xf numFmtId="0" fontId="36" fillId="0" borderId="90" xfId="1026" applyFont="1" applyFill="1" applyBorder="1" applyAlignment="1">
      <alignment horizontal="center" vertical="center" wrapText="1"/>
    </xf>
    <xf numFmtId="187" fontId="36" fillId="0" borderId="90" xfId="1026" applyNumberFormat="1" applyFont="1" applyFill="1" applyBorder="1" applyAlignment="1">
      <alignment horizontal="center" vertical="center"/>
    </xf>
    <xf numFmtId="187" fontId="39" fillId="0" borderId="90" xfId="1026" applyNumberFormat="1" applyFont="1" applyFill="1" applyBorder="1" applyAlignment="1">
      <alignment horizontal="center" vertical="center"/>
    </xf>
    <xf numFmtId="0" fontId="39" fillId="9" borderId="97" xfId="1026" applyFont="1" applyFill="1" applyBorder="1" applyAlignment="1">
      <alignment horizontal="center" vertical="center"/>
    </xf>
    <xf numFmtId="0" fontId="39" fillId="9" borderId="97" xfId="1026" applyFont="1" applyFill="1" applyBorder="1" applyAlignment="1">
      <alignment horizontal="left" vertical="center" wrapText="1"/>
    </xf>
    <xf numFmtId="0" fontId="36" fillId="9" borderId="97" xfId="1026" applyFont="1" applyFill="1" applyBorder="1" applyAlignment="1">
      <alignment horizontal="center" vertical="center"/>
    </xf>
    <xf numFmtId="187" fontId="36" fillId="9" borderId="97" xfId="1026" applyNumberFormat="1" applyFont="1" applyFill="1" applyBorder="1" applyAlignment="1">
      <alignment horizontal="center" vertical="center"/>
    </xf>
    <xf numFmtId="187" fontId="39" fillId="9" borderId="97" xfId="1026" applyNumberFormat="1" applyFont="1" applyFill="1" applyBorder="1" applyAlignment="1">
      <alignment horizontal="center" vertical="center"/>
    </xf>
    <xf numFmtId="0" fontId="31" fillId="0" borderId="90" xfId="1026" applyFont="1" applyFill="1" applyBorder="1" applyAlignment="1">
      <alignment vertical="center" wrapText="1"/>
    </xf>
    <xf numFmtId="0" fontId="36" fillId="0" borderId="90" xfId="1026" applyFont="1" applyFill="1" applyBorder="1" applyAlignment="1">
      <alignment horizontal="center" vertical="center"/>
    </xf>
    <xf numFmtId="0" fontId="39" fillId="7" borderId="97" xfId="1026" applyFont="1" applyFill="1" applyBorder="1" applyAlignment="1">
      <alignment horizontal="center" vertical="center"/>
    </xf>
    <xf numFmtId="0" fontId="36" fillId="7" borderId="97" xfId="1026" applyFont="1" applyFill="1" applyBorder="1" applyAlignment="1">
      <alignment horizontal="center" vertical="center"/>
    </xf>
    <xf numFmtId="187" fontId="36" fillId="7" borderId="97" xfId="1026" applyNumberFormat="1" applyFont="1" applyFill="1" applyBorder="1" applyAlignment="1">
      <alignment horizontal="center" vertical="center"/>
    </xf>
    <xf numFmtId="187" fontId="39" fillId="10" borderId="97" xfId="1026" applyNumberFormat="1" applyFont="1" applyFill="1" applyBorder="1" applyAlignment="1">
      <alignment horizontal="center" vertical="center"/>
    </xf>
    <xf numFmtId="0" fontId="36" fillId="0" borderId="90" xfId="1026" applyFont="1" applyFill="1" applyBorder="1" applyAlignment="1">
      <alignment vertical="center"/>
    </xf>
    <xf numFmtId="187" fontId="40" fillId="0" borderId="90" xfId="1026" applyNumberFormat="1" applyFont="1" applyFill="1" applyBorder="1" applyAlignment="1">
      <alignment horizontal="center" vertical="center"/>
    </xf>
    <xf numFmtId="0" fontId="18" fillId="0" borderId="98" xfId="1026" applyFont="1" applyFill="1" applyBorder="1" applyAlignment="1">
      <alignment horizontal="center" vertical="center"/>
    </xf>
    <xf numFmtId="187" fontId="18" fillId="0" borderId="98" xfId="1026" applyNumberFormat="1" applyFont="1" applyFill="1" applyBorder="1" applyAlignment="1">
      <alignment horizontal="center" vertical="center"/>
    </xf>
    <xf numFmtId="187" fontId="3" fillId="0" borderId="98" xfId="1026" applyNumberFormat="1" applyFont="1" applyFill="1" applyBorder="1" applyAlignment="1">
      <alignment horizontal="center" vertical="center"/>
    </xf>
    <xf numFmtId="187" fontId="39" fillId="11" borderId="98" xfId="1026" applyNumberFormat="1" applyFont="1" applyFill="1" applyBorder="1" applyAlignment="1">
      <alignment horizontal="center" vertical="center"/>
    </xf>
    <xf numFmtId="187" fontId="39" fillId="0" borderId="98" xfId="1026" applyNumberFormat="1" applyFont="1" applyFill="1" applyBorder="1" applyAlignment="1">
      <alignment horizontal="center" vertical="center"/>
    </xf>
    <xf numFmtId="0" fontId="18" fillId="0" borderId="89" xfId="1026" applyFont="1" applyFill="1" applyBorder="1" applyAlignment="1">
      <alignment horizontal="center" vertical="center"/>
    </xf>
    <xf numFmtId="187" fontId="18" fillId="0" borderId="89" xfId="1026" applyNumberFormat="1" applyFont="1" applyFill="1" applyBorder="1" applyAlignment="1">
      <alignment horizontal="center" vertical="center"/>
    </xf>
    <xf numFmtId="187" fontId="18" fillId="0" borderId="99" xfId="1026" applyNumberFormat="1" applyFont="1" applyFill="1" applyBorder="1" applyAlignment="1">
      <alignment horizontal="center" vertical="center"/>
    </xf>
    <xf numFmtId="176" fontId="39" fillId="0" borderId="100" xfId="1026" applyNumberFormat="1" applyFont="1" applyFill="1" applyBorder="1" applyAlignment="1">
      <alignment horizontal="center" vertical="center"/>
    </xf>
    <xf numFmtId="0" fontId="41" fillId="0" borderId="0" xfId="1026" applyFont="1" applyAlignment="1">
      <alignment horizontal="center" vertical="center"/>
    </xf>
    <xf numFmtId="0" fontId="37" fillId="0" borderId="0" xfId="1026" applyFont="1" applyAlignment="1">
      <alignment vertical="top" wrapText="1"/>
    </xf>
    <xf numFmtId="0" fontId="41" fillId="0" borderId="0" xfId="1026" applyFont="1" applyAlignment="1">
      <alignment horizontal="right" vertical="center"/>
    </xf>
    <xf numFmtId="0" fontId="41" fillId="0" borderId="0" xfId="1026" applyFont="1" applyBorder="1" applyAlignment="1">
      <alignment horizontal="right" vertical="center"/>
    </xf>
    <xf numFmtId="0" fontId="41" fillId="3" borderId="0" xfId="1026" applyFont="1" applyFill="1" applyAlignment="1">
      <alignment horizontal="left" vertical="center"/>
    </xf>
    <xf numFmtId="0" fontId="41" fillId="0" borderId="0" xfId="1026" applyFont="1" applyBorder="1" applyAlignment="1">
      <alignment vertical="center"/>
    </xf>
    <xf numFmtId="0" fontId="41" fillId="0" borderId="0" xfId="1026" applyFont="1" applyAlignment="1">
      <alignment horizontal="left" vertical="center"/>
    </xf>
    <xf numFmtId="0" fontId="37" fillId="0" borderId="0" xfId="1026" applyFont="1" applyAlignment="1"/>
    <xf numFmtId="0" fontId="41" fillId="0" borderId="0" xfId="1026" applyFont="1" applyBorder="1" applyAlignment="1">
      <alignment horizontal="right" vertical="top"/>
    </xf>
    <xf numFmtId="188" fontId="37" fillId="0" borderId="0" xfId="1026" applyNumberFormat="1" applyFont="1" applyBorder="1" applyAlignment="1">
      <alignment horizontal="center" vertical="center" wrapText="1"/>
    </xf>
    <xf numFmtId="0" fontId="41" fillId="0" borderId="0" xfId="1026" applyFont="1" applyBorder="1" applyAlignment="1">
      <alignment horizontal="center" vertical="center"/>
    </xf>
    <xf numFmtId="0" fontId="37" fillId="0" borderId="0" xfId="1026" applyFont="1" applyAlignment="1">
      <alignment horizontal="left" vertical="top" wrapText="1"/>
    </xf>
    <xf numFmtId="0" fontId="37" fillId="0" borderId="0" xfId="1026" applyFont="1" applyAlignment="1">
      <alignment horizontal="center" vertical="center"/>
    </xf>
    <xf numFmtId="0" fontId="41" fillId="0" borderId="0" xfId="1026" applyFont="1" applyAlignment="1">
      <alignment horizontal="left" vertical="top"/>
    </xf>
    <xf numFmtId="0" fontId="37" fillId="0" borderId="0" xfId="1026" applyFont="1" applyAlignment="1">
      <alignment horizontal="left" vertical="top"/>
    </xf>
    <xf numFmtId="0" fontId="18" fillId="0" borderId="0" xfId="1026" applyFont="1" applyAlignment="1">
      <alignment horizontal="center" vertical="center"/>
    </xf>
    <xf numFmtId="0" fontId="3" fillId="0" borderId="0" xfId="1026" applyFont="1" applyAlignment="1">
      <alignment horizontal="left" vertical="center"/>
    </xf>
    <xf numFmtId="0" fontId="31" fillId="0" borderId="0" xfId="1026" applyFont="1" applyAlignment="1">
      <alignment horizontal="center" vertical="center" wrapText="1"/>
    </xf>
    <xf numFmtId="0" fontId="31" fillId="0" borderId="0" xfId="1026" applyFont="1" applyAlignment="1">
      <alignment horizontal="left" vertical="center"/>
    </xf>
    <xf numFmtId="0" fontId="3" fillId="0" borderId="0" xfId="0" applyFont="1" applyAlignment="1"/>
    <xf numFmtId="0" fontId="3" fillId="0" borderId="0" xfId="0" applyFont="1" applyBorder="1" applyAlignment="1"/>
    <xf numFmtId="0" fontId="36" fillId="0" borderId="19" xfId="1026" applyFont="1" applyBorder="1"/>
    <xf numFmtId="0" fontId="36" fillId="0" borderId="0" xfId="1026" applyFont="1" applyBorder="1"/>
    <xf numFmtId="0" fontId="35" fillId="0" borderId="94" xfId="1026" applyFont="1" applyFill="1" applyBorder="1" applyAlignment="1">
      <alignment horizontal="center" vertical="center" wrapText="1"/>
    </xf>
    <xf numFmtId="0" fontId="35" fillId="0" borderId="19" xfId="1026" applyFont="1" applyBorder="1"/>
    <xf numFmtId="0" fontId="35" fillId="0" borderId="0" xfId="1026" applyFont="1" applyBorder="1"/>
    <xf numFmtId="187" fontId="39" fillId="8" borderId="103" xfId="1026" applyNumberFormat="1" applyFont="1" applyFill="1" applyBorder="1" applyAlignment="1">
      <alignment horizontal="center" vertical="center"/>
    </xf>
    <xf numFmtId="0" fontId="36" fillId="0" borderId="19" xfId="1026" applyFont="1" applyBorder="1" applyAlignment="1">
      <alignment vertical="center"/>
    </xf>
    <xf numFmtId="0" fontId="36" fillId="0" borderId="0" xfId="1026" applyFont="1" applyBorder="1" applyAlignment="1">
      <alignment vertical="center"/>
    </xf>
    <xf numFmtId="187" fontId="36" fillId="0" borderId="0" xfId="1026" applyNumberFormat="1" applyFont="1" applyAlignment="1">
      <alignment vertical="center"/>
    </xf>
    <xf numFmtId="169" fontId="36" fillId="0" borderId="0" xfId="55" applyFont="1" applyAlignment="1">
      <alignment vertical="center"/>
    </xf>
    <xf numFmtId="0" fontId="37" fillId="0" borderId="0" xfId="1026" applyFont="1" applyAlignment="1">
      <alignment vertical="top"/>
    </xf>
    <xf numFmtId="0" fontId="37" fillId="0" borderId="0" xfId="1026" applyFont="1" applyAlignment="1">
      <alignment horizontal="left" vertical="center"/>
    </xf>
    <xf numFmtId="0" fontId="41" fillId="0" borderId="0" xfId="1026" applyFont="1" applyAlignment="1">
      <alignment horizontal="center"/>
    </xf>
    <xf numFmtId="0" fontId="41" fillId="0" borderId="0" xfId="1026" applyFont="1"/>
    <xf numFmtId="0" fontId="18" fillId="0" borderId="0" xfId="1026" applyFont="1"/>
    <xf numFmtId="0" fontId="31" fillId="0" borderId="0" xfId="0" applyFont="1" applyAlignment="1">
      <alignment wrapText="1"/>
    </xf>
    <xf numFmtId="0" fontId="14" fillId="0" borderId="0" xfId="1069" applyFont="1" applyFill="1"/>
    <xf numFmtId="41" fontId="11" fillId="0" borderId="0" xfId="84" applyFont="1" applyFill="1"/>
    <xf numFmtId="0" fontId="18" fillId="0" borderId="0" xfId="1069" applyFont="1" applyFill="1" applyAlignment="1">
      <alignment horizontal="center"/>
    </xf>
    <xf numFmtId="0" fontId="13" fillId="0" borderId="0" xfId="1069" applyFont="1" applyFill="1" applyAlignment="1"/>
    <xf numFmtId="0" fontId="28" fillId="0" borderId="1" xfId="1069" applyFont="1" applyFill="1" applyBorder="1" applyAlignment="1">
      <alignment horizontal="left" vertical="top" wrapText="1"/>
    </xf>
    <xf numFmtId="0" fontId="28" fillId="0" borderId="1" xfId="1069" applyFont="1" applyFill="1" applyBorder="1" applyAlignment="1">
      <alignment vertical="top" wrapText="1"/>
    </xf>
    <xf numFmtId="184" fontId="28" fillId="0" borderId="1" xfId="1069" applyNumberFormat="1" applyFont="1" applyFill="1" applyBorder="1" applyAlignment="1">
      <alignment vertical="top" wrapText="1"/>
    </xf>
    <xf numFmtId="0" fontId="28" fillId="0" borderId="1" xfId="1069" applyFont="1" applyFill="1" applyBorder="1" applyAlignment="1">
      <alignment horizontal="center" vertical="top" wrapText="1"/>
    </xf>
    <xf numFmtId="182" fontId="28" fillId="0" borderId="1" xfId="77" applyNumberFormat="1" applyFont="1" applyFill="1" applyBorder="1" applyAlignment="1">
      <alignment vertical="top" wrapText="1"/>
    </xf>
    <xf numFmtId="0" fontId="28" fillId="0" borderId="1" xfId="1069" applyFont="1" applyFill="1" applyBorder="1" applyAlignment="1">
      <alignment vertical="top" wrapText="1" readingOrder="1"/>
    </xf>
    <xf numFmtId="182" fontId="28" fillId="0" borderId="1" xfId="77" applyNumberFormat="1" applyFont="1" applyFill="1" applyBorder="1" applyAlignment="1">
      <alignment vertical="top" wrapText="1" readingOrder="1"/>
    </xf>
    <xf numFmtId="39" fontId="42" fillId="0" borderId="1" xfId="0" applyNumberFormat="1" applyFont="1" applyBorder="1" applyAlignment="1">
      <alignment horizontal="right" vertical="top"/>
    </xf>
    <xf numFmtId="0" fontId="28" fillId="0" borderId="1" xfId="1069" applyFont="1" applyFill="1" applyBorder="1" applyAlignment="1">
      <alignment vertical="center"/>
    </xf>
    <xf numFmtId="0" fontId="28" fillId="0" borderId="1" xfId="1069" applyFont="1" applyFill="1" applyBorder="1"/>
    <xf numFmtId="39" fontId="42" fillId="0" borderId="3" xfId="0" applyNumberFormat="1" applyFont="1" applyBorder="1" applyAlignment="1">
      <alignment horizontal="right" vertical="top"/>
    </xf>
    <xf numFmtId="184" fontId="15" fillId="0" borderId="3" xfId="1069" applyNumberFormat="1" applyFont="1" applyFill="1" applyBorder="1" applyAlignment="1">
      <alignment horizontal="right" vertical="top" wrapText="1" readingOrder="1"/>
    </xf>
    <xf numFmtId="184" fontId="15" fillId="0" borderId="1" xfId="1069" applyNumberFormat="1" applyFont="1" applyFill="1" applyBorder="1" applyAlignment="1">
      <alignment horizontal="right" vertical="top" wrapText="1" readingOrder="1"/>
    </xf>
    <xf numFmtId="43" fontId="11" fillId="0" borderId="0" xfId="1069" applyNumberFormat="1" applyFont="1" applyFill="1"/>
    <xf numFmtId="182" fontId="11" fillId="0" borderId="0" xfId="1069" applyNumberFormat="1" applyFont="1" applyFill="1"/>
    <xf numFmtId="184" fontId="11" fillId="0" borderId="0" xfId="1069" applyNumberFormat="1" applyFont="1" applyFill="1"/>
    <xf numFmtId="0" fontId="11" fillId="0" borderId="1" xfId="1069" applyFont="1" applyFill="1" applyBorder="1"/>
    <xf numFmtId="39" fontId="42" fillId="0" borderId="1" xfId="0" applyNumberFormat="1" applyFont="1" applyFill="1" applyBorder="1" applyAlignment="1">
      <alignment horizontal="right" vertical="top"/>
    </xf>
    <xf numFmtId="39" fontId="11" fillId="0" borderId="0" xfId="1069" applyNumberFormat="1" applyFont="1" applyFill="1"/>
    <xf numFmtId="41" fontId="13" fillId="0" borderId="0" xfId="84" applyFont="1" applyFill="1" applyAlignment="1"/>
    <xf numFmtId="0" fontId="10" fillId="0" borderId="0" xfId="1069" applyFont="1" applyFill="1" applyAlignment="1">
      <alignment horizontal="center"/>
    </xf>
    <xf numFmtId="0" fontId="9" fillId="0" borderId="0" xfId="1069" applyFont="1" applyFill="1" applyAlignment="1"/>
    <xf numFmtId="184" fontId="30" fillId="0" borderId="1" xfId="1069" applyNumberFormat="1" applyFont="1" applyFill="1" applyBorder="1" applyAlignment="1">
      <alignment horizontal="right" vertical="top" wrapText="1" readingOrder="1"/>
    </xf>
    <xf numFmtId="182" fontId="11" fillId="0" borderId="0" xfId="6" applyNumberFormat="1" applyFont="1" applyFill="1"/>
    <xf numFmtId="0" fontId="28" fillId="0" borderId="0" xfId="1069" applyFont="1" applyAlignment="1">
      <alignment horizontal="right"/>
    </xf>
    <xf numFmtId="0" fontId="92" fillId="0" borderId="0" xfId="1069"/>
    <xf numFmtId="43" fontId="92" fillId="0" borderId="0" xfId="1069" applyNumberFormat="1"/>
    <xf numFmtId="0" fontId="22" fillId="0" borderId="0" xfId="1356" applyFont="1" applyFill="1" applyAlignment="1">
      <alignment horizontal="center"/>
    </xf>
    <xf numFmtId="0" fontId="22" fillId="0" borderId="0" xfId="1356" applyFont="1" applyAlignment="1">
      <alignment horizontal="center"/>
    </xf>
    <xf numFmtId="43" fontId="22" fillId="0" borderId="0" xfId="79" applyNumberFormat="1" applyFont="1" applyAlignment="1">
      <alignment horizontal="center"/>
    </xf>
    <xf numFmtId="43" fontId="22" fillId="0" borderId="0" xfId="79" applyNumberFormat="1" applyFont="1" applyAlignment="1">
      <alignment horizontal="left"/>
    </xf>
    <xf numFmtId="0" fontId="23" fillId="0" borderId="0" xfId="1356" applyFont="1" applyAlignment="1"/>
    <xf numFmtId="0" fontId="44" fillId="3" borderId="26" xfId="0" applyFont="1" applyFill="1" applyBorder="1" applyAlignment="1">
      <alignment horizontal="center" vertical="center"/>
    </xf>
    <xf numFmtId="0" fontId="44" fillId="3" borderId="10" xfId="0" applyFont="1" applyFill="1" applyBorder="1" applyAlignment="1">
      <alignment horizontal="center" vertical="center"/>
    </xf>
    <xf numFmtId="41" fontId="44" fillId="3" borderId="10" xfId="6" applyFont="1" applyFill="1" applyBorder="1" applyAlignment="1">
      <alignment horizontal="center" vertical="center"/>
    </xf>
    <xf numFmtId="41" fontId="46" fillId="3" borderId="10" xfId="6" applyFont="1" applyFill="1" applyBorder="1" applyAlignment="1">
      <alignment horizontal="center" vertical="center"/>
    </xf>
    <xf numFmtId="0" fontId="44" fillId="5" borderId="21" xfId="0" applyFont="1" applyFill="1" applyBorder="1" applyAlignment="1">
      <alignment vertical="center"/>
    </xf>
    <xf numFmtId="0" fontId="44" fillId="5" borderId="4" xfId="0" applyFont="1" applyFill="1" applyBorder="1" applyAlignment="1">
      <alignment vertical="center"/>
    </xf>
    <xf numFmtId="41" fontId="44" fillId="5" borderId="4" xfId="6" applyFont="1" applyFill="1" applyBorder="1" applyAlignment="1">
      <alignment horizontal="center" vertical="center"/>
    </xf>
    <xf numFmtId="0" fontId="45" fillId="5" borderId="4" xfId="0" applyFont="1" applyFill="1" applyBorder="1" applyAlignment="1">
      <alignment horizontal="center" vertical="center"/>
    </xf>
    <xf numFmtId="41" fontId="44" fillId="5" borderId="4" xfId="6" applyFont="1" applyFill="1" applyBorder="1" applyAlignment="1">
      <alignment horizontal="center" vertical="center" wrapText="1"/>
    </xf>
    <xf numFmtId="41" fontId="46" fillId="5" borderId="4" xfId="6" applyFont="1" applyFill="1" applyBorder="1" applyAlignment="1">
      <alignment horizontal="center" vertical="center"/>
    </xf>
    <xf numFmtId="0" fontId="44" fillId="3" borderId="105" xfId="0" applyFont="1" applyFill="1" applyBorder="1" applyAlignment="1">
      <alignment vertical="center"/>
    </xf>
    <xf numFmtId="0" fontId="44" fillId="3" borderId="53" xfId="0" applyFont="1" applyFill="1" applyBorder="1" applyAlignment="1">
      <alignment horizontal="center" vertical="top"/>
    </xf>
    <xf numFmtId="41" fontId="44" fillId="3" borderId="1" xfId="6" applyFont="1" applyFill="1" applyBorder="1" applyAlignment="1">
      <alignment vertical="top" wrapText="1"/>
    </xf>
    <xf numFmtId="41" fontId="45" fillId="3" borderId="1" xfId="6" applyFont="1" applyFill="1" applyBorder="1" applyAlignment="1">
      <alignment vertical="top" wrapText="1"/>
    </xf>
    <xf numFmtId="0" fontId="44" fillId="3" borderId="105" xfId="0" applyFont="1" applyFill="1" applyBorder="1" applyAlignment="1">
      <alignment horizontal="center" vertical="top"/>
    </xf>
    <xf numFmtId="0" fontId="44" fillId="3" borderId="4" xfId="0" applyFont="1" applyFill="1" applyBorder="1" applyAlignment="1">
      <alignment vertical="top" wrapText="1"/>
    </xf>
    <xf numFmtId="41" fontId="44" fillId="3" borderId="1" xfId="6" applyFont="1" applyFill="1" applyBorder="1" applyAlignment="1">
      <alignment horizontal="right" vertical="top" wrapText="1"/>
    </xf>
    <xf numFmtId="0" fontId="45" fillId="3" borderId="4" xfId="0" applyFont="1" applyFill="1" applyBorder="1" applyAlignment="1">
      <alignment vertical="top" wrapText="1"/>
    </xf>
    <xf numFmtId="41" fontId="44" fillId="3" borderId="1" xfId="6" applyFont="1" applyFill="1" applyBorder="1" applyAlignment="1">
      <alignment horizontal="center" vertical="top" wrapText="1"/>
    </xf>
    <xf numFmtId="15" fontId="44" fillId="3" borderId="1" xfId="0" applyNumberFormat="1" applyFont="1" applyFill="1" applyBorder="1" applyAlignment="1">
      <alignment horizontal="center" vertical="top" wrapText="1"/>
    </xf>
    <xf numFmtId="41" fontId="46" fillId="3" borderId="1" xfId="6" applyFont="1" applyFill="1" applyBorder="1" applyAlignment="1">
      <alignment vertical="top" wrapText="1"/>
    </xf>
    <xf numFmtId="0" fontId="44" fillId="3" borderId="3" xfId="0" applyFont="1" applyFill="1" applyBorder="1" applyAlignment="1">
      <alignment vertical="top" wrapText="1"/>
    </xf>
    <xf numFmtId="0" fontId="44" fillId="3" borderId="26" xfId="0" applyFont="1" applyFill="1" applyBorder="1" applyAlignment="1">
      <alignment vertical="top"/>
    </xf>
    <xf numFmtId="0" fontId="44" fillId="3" borderId="0" xfId="0" applyFont="1" applyFill="1" applyBorder="1" applyAlignment="1">
      <alignment vertical="top"/>
    </xf>
    <xf numFmtId="41" fontId="44" fillId="3" borderId="0" xfId="6" applyFont="1" applyFill="1" applyBorder="1" applyAlignment="1">
      <alignment vertical="top"/>
    </xf>
    <xf numFmtId="0" fontId="45" fillId="3" borderId="0" xfId="0" applyFont="1" applyFill="1" applyBorder="1" applyAlignment="1">
      <alignment vertical="top"/>
    </xf>
    <xf numFmtId="41" fontId="46" fillId="3" borderId="0" xfId="6" applyFont="1" applyFill="1" applyBorder="1" applyAlignment="1">
      <alignment vertical="top"/>
    </xf>
    <xf numFmtId="0" fontId="44" fillId="3" borderId="0" xfId="0" applyFont="1" applyFill="1" applyBorder="1" applyAlignment="1">
      <alignment horizontal="left" vertical="top" wrapText="1"/>
    </xf>
    <xf numFmtId="41" fontId="44" fillId="3" borderId="6" xfId="6" applyFont="1" applyFill="1" applyBorder="1" applyAlignment="1">
      <alignment vertical="top" wrapText="1"/>
    </xf>
    <xf numFmtId="0" fontId="45" fillId="3" borderId="0" xfId="0" applyFont="1" applyFill="1" applyBorder="1" applyAlignment="1">
      <alignment vertical="top" wrapText="1"/>
    </xf>
    <xf numFmtId="0" fontId="44" fillId="3" borderId="1" xfId="0" applyFont="1" applyFill="1" applyBorder="1" applyAlignment="1">
      <alignment horizontal="center" vertical="top" wrapText="1"/>
    </xf>
    <xf numFmtId="0" fontId="44" fillId="3" borderId="4" xfId="0" applyFont="1" applyFill="1" applyBorder="1"/>
    <xf numFmtId="41" fontId="44" fillId="3" borderId="4" xfId="6" applyFont="1" applyFill="1" applyBorder="1"/>
    <xf numFmtId="0" fontId="45" fillId="3" borderId="4" xfId="0" applyFont="1" applyFill="1" applyBorder="1" applyAlignment="1"/>
    <xf numFmtId="15" fontId="44" fillId="3" borderId="4" xfId="0" applyNumberFormat="1" applyFont="1" applyFill="1" applyBorder="1"/>
    <xf numFmtId="41" fontId="46" fillId="3" borderId="4" xfId="6" applyFont="1" applyFill="1" applyBorder="1"/>
    <xf numFmtId="0" fontId="47" fillId="3" borderId="105" xfId="0" applyFont="1" applyFill="1" applyBorder="1" applyAlignment="1">
      <alignment horizontal="center" vertical="center"/>
    </xf>
    <xf numFmtId="0" fontId="47" fillId="3" borderId="1" xfId="0" applyFont="1" applyFill="1" applyBorder="1" applyAlignment="1">
      <alignment horizontal="center" vertical="center" wrapText="1"/>
    </xf>
    <xf numFmtId="43" fontId="47" fillId="3" borderId="1" xfId="3" applyNumberFormat="1" applyFont="1" applyFill="1" applyBorder="1" applyAlignment="1">
      <alignment horizontal="center" vertical="center"/>
    </xf>
    <xf numFmtId="0" fontId="47" fillId="3" borderId="19" xfId="0" applyFont="1" applyFill="1" applyBorder="1" applyAlignment="1">
      <alignment horizontal="center"/>
    </xf>
    <xf numFmtId="0" fontId="47" fillId="3" borderId="0" xfId="0" applyFont="1" applyFill="1" applyBorder="1" applyAlignment="1">
      <alignment horizontal="center" vertical="center" wrapText="1"/>
    </xf>
    <xf numFmtId="43" fontId="47" fillId="3" borderId="0" xfId="3" applyNumberFormat="1" applyFont="1" applyFill="1" applyBorder="1" applyAlignment="1">
      <alignment horizontal="center" vertical="center"/>
    </xf>
    <xf numFmtId="0" fontId="48" fillId="3" borderId="105" xfId="0" applyFont="1" applyFill="1" applyBorder="1" applyAlignment="1">
      <alignment horizontal="center" vertical="center"/>
    </xf>
    <xf numFmtId="0" fontId="48" fillId="3" borderId="1" xfId="0" applyFont="1" applyFill="1" applyBorder="1" applyAlignment="1">
      <alignment horizontal="center" vertical="center" wrapText="1"/>
    </xf>
    <xf numFmtId="43" fontId="48" fillId="3" borderId="1" xfId="3" applyNumberFormat="1" applyFont="1" applyFill="1" applyBorder="1" applyAlignment="1">
      <alignment horizontal="center" vertical="center"/>
    </xf>
    <xf numFmtId="0" fontId="47" fillId="3" borderId="14" xfId="0" applyFont="1" applyFill="1" applyBorder="1"/>
    <xf numFmtId="0" fontId="47" fillId="3" borderId="10" xfId="0" applyFont="1" applyFill="1" applyBorder="1" applyAlignment="1">
      <alignment horizontal="left" vertical="center" wrapText="1"/>
    </xf>
    <xf numFmtId="41" fontId="47" fillId="3" borderId="10" xfId="6" applyFont="1" applyFill="1" applyBorder="1" applyAlignment="1">
      <alignment horizontal="center" vertical="center"/>
    </xf>
    <xf numFmtId="43" fontId="47" fillId="3" borderId="10" xfId="3" applyNumberFormat="1" applyFont="1" applyFill="1" applyBorder="1" applyAlignment="1">
      <alignment horizontal="center" vertical="center"/>
    </xf>
    <xf numFmtId="43" fontId="49" fillId="3" borderId="10" xfId="3" applyNumberFormat="1" applyFont="1" applyFill="1" applyBorder="1" applyAlignment="1">
      <alignment horizontal="center" vertical="center" wrapText="1"/>
    </xf>
    <xf numFmtId="0" fontId="47" fillId="3" borderId="26" xfId="0" applyFont="1" applyFill="1" applyBorder="1"/>
    <xf numFmtId="0" fontId="47" fillId="3" borderId="19" xfId="0" applyFont="1" applyFill="1" applyBorder="1"/>
    <xf numFmtId="0" fontId="44" fillId="3" borderId="19" xfId="0" applyFont="1" applyFill="1" applyBorder="1"/>
    <xf numFmtId="0" fontId="44" fillId="3" borderId="0" xfId="0" applyFont="1" applyFill="1" applyBorder="1"/>
    <xf numFmtId="41" fontId="44" fillId="3" borderId="0" xfId="6" applyFont="1" applyFill="1" applyBorder="1"/>
    <xf numFmtId="0" fontId="45" fillId="3" borderId="0" xfId="0" applyFont="1" applyFill="1" applyBorder="1" applyAlignment="1"/>
    <xf numFmtId="15" fontId="44" fillId="3" borderId="0" xfId="0" applyNumberFormat="1" applyFont="1" applyFill="1" applyBorder="1"/>
    <xf numFmtId="41" fontId="46" fillId="3" borderId="0" xfId="6" applyFont="1" applyFill="1" applyBorder="1"/>
    <xf numFmtId="0" fontId="44" fillId="13" borderId="106" xfId="0" applyFont="1" applyFill="1" applyBorder="1"/>
    <xf numFmtId="0" fontId="50" fillId="13" borderId="9" xfId="0" applyFont="1" applyFill="1" applyBorder="1" applyAlignment="1">
      <alignment vertical="center" wrapText="1"/>
    </xf>
    <xf numFmtId="0" fontId="44" fillId="13" borderId="9" xfId="0" applyFont="1" applyFill="1" applyBorder="1"/>
    <xf numFmtId="41" fontId="44" fillId="13" borderId="9" xfId="6" applyFont="1" applyFill="1" applyBorder="1"/>
    <xf numFmtId="41" fontId="48" fillId="13" borderId="9" xfId="6" applyFont="1" applyFill="1" applyBorder="1" applyAlignment="1">
      <alignment vertical="center"/>
    </xf>
    <xf numFmtId="43" fontId="48" fillId="13" borderId="107" xfId="0" applyNumberFormat="1" applyFont="1" applyFill="1" applyBorder="1" applyAlignment="1">
      <alignment vertical="center"/>
    </xf>
    <xf numFmtId="0" fontId="44" fillId="3" borderId="0" xfId="0" applyFont="1" applyFill="1" applyAlignment="1">
      <alignment vertical="center"/>
    </xf>
    <xf numFmtId="41" fontId="44" fillId="3" borderId="0" xfId="6" applyFont="1" applyFill="1" applyAlignment="1">
      <alignment vertical="center"/>
    </xf>
    <xf numFmtId="0" fontId="45" fillId="3" borderId="0" xfId="0" applyFont="1" applyFill="1" applyAlignment="1">
      <alignment vertical="center"/>
    </xf>
    <xf numFmtId="0" fontId="52" fillId="5" borderId="21" xfId="0" applyFont="1" applyFill="1" applyBorder="1" applyAlignment="1">
      <alignment vertical="center"/>
    </xf>
    <xf numFmtId="0" fontId="52" fillId="5" borderId="4" xfId="0" applyFont="1" applyFill="1" applyBorder="1" applyAlignment="1">
      <alignment vertical="center"/>
    </xf>
    <xf numFmtId="0" fontId="44" fillId="5" borderId="105" xfId="0" applyFont="1" applyFill="1" applyBorder="1" applyAlignment="1">
      <alignment horizontal="center" vertical="center"/>
    </xf>
    <xf numFmtId="0" fontId="44" fillId="5" borderId="4" xfId="0" applyFont="1" applyFill="1" applyBorder="1" applyAlignment="1">
      <alignment horizontal="left" vertical="center" wrapText="1"/>
    </xf>
    <xf numFmtId="0" fontId="44" fillId="5" borderId="10" xfId="0" applyFont="1" applyFill="1" applyBorder="1" applyAlignment="1">
      <alignment horizontal="center" vertical="center" wrapText="1"/>
    </xf>
    <xf numFmtId="41" fontId="44" fillId="5" borderId="1" xfId="6" applyFont="1" applyFill="1" applyBorder="1" applyAlignment="1">
      <alignment horizontal="left" vertical="center"/>
    </xf>
    <xf numFmtId="0" fontId="44" fillId="3" borderId="108" xfId="0" applyFont="1" applyFill="1" applyBorder="1" applyAlignment="1">
      <alignment horizontal="center" vertical="center"/>
    </xf>
    <xf numFmtId="0" fontId="44" fillId="3" borderId="5" xfId="0" applyFont="1" applyFill="1" applyBorder="1" applyAlignment="1">
      <alignment horizontal="left" vertical="center" wrapText="1"/>
    </xf>
    <xf numFmtId="0" fontId="44" fillId="3" borderId="5" xfId="0" applyFont="1" applyFill="1" applyBorder="1" applyAlignment="1">
      <alignment horizontal="center" vertical="center"/>
    </xf>
    <xf numFmtId="41" fontId="44" fillId="3" borderId="5" xfId="6" applyFont="1" applyFill="1" applyBorder="1" applyAlignment="1">
      <alignment horizontal="left" vertical="center"/>
    </xf>
    <xf numFmtId="0" fontId="45" fillId="3" borderId="109" xfId="0" applyFont="1" applyFill="1" applyBorder="1" applyAlignment="1">
      <alignment vertical="center" wrapText="1"/>
    </xf>
    <xf numFmtId="41" fontId="44" fillId="3" borderId="5" xfId="6" applyFont="1" applyFill="1" applyBorder="1" applyAlignment="1">
      <alignment horizontal="center" vertical="center"/>
    </xf>
    <xf numFmtId="43" fontId="46" fillId="3" borderId="1" xfId="3" applyFont="1" applyFill="1" applyBorder="1" applyAlignment="1">
      <alignment horizontal="center" vertical="center"/>
    </xf>
    <xf numFmtId="14" fontId="44" fillId="3" borderId="1" xfId="0" applyNumberFormat="1" applyFont="1" applyFill="1" applyBorder="1" applyAlignment="1">
      <alignment horizontal="center" vertical="center"/>
    </xf>
    <xf numFmtId="0" fontId="44" fillId="3" borderId="14" xfId="0" applyFont="1" applyFill="1" applyBorder="1" applyAlignment="1">
      <alignment horizontal="center" vertical="center"/>
    </xf>
    <xf numFmtId="0" fontId="44" fillId="3" borderId="6" xfId="0" applyFont="1" applyFill="1" applyBorder="1" applyAlignment="1">
      <alignment horizontal="left" vertical="center" wrapText="1"/>
    </xf>
    <xf numFmtId="0" fontId="44" fillId="3" borderId="6" xfId="0" applyFont="1" applyFill="1" applyBorder="1" applyAlignment="1">
      <alignment horizontal="center" vertical="center"/>
    </xf>
    <xf numFmtId="41" fontId="44" fillId="3" borderId="6" xfId="6" applyFont="1" applyFill="1" applyBorder="1" applyAlignment="1">
      <alignment horizontal="left" vertical="center"/>
    </xf>
    <xf numFmtId="0" fontId="45" fillId="3" borderId="6" xfId="0" applyFont="1" applyFill="1" applyBorder="1" applyAlignment="1">
      <alignment vertical="center"/>
    </xf>
    <xf numFmtId="41" fontId="44" fillId="3" borderId="6" xfId="6" applyFont="1" applyFill="1" applyBorder="1" applyAlignment="1">
      <alignment horizontal="center" vertical="center"/>
    </xf>
    <xf numFmtId="0" fontId="45" fillId="3" borderId="10" xfId="0" applyFont="1" applyFill="1" applyBorder="1" applyAlignment="1">
      <alignment vertical="center"/>
    </xf>
    <xf numFmtId="0" fontId="44" fillId="3" borderId="105" xfId="0" applyFont="1" applyFill="1" applyBorder="1" applyAlignment="1">
      <alignment horizontal="center" vertical="center"/>
    </xf>
    <xf numFmtId="0" fontId="44" fillId="3" borderId="4" xfId="0" applyFont="1" applyFill="1" applyBorder="1" applyAlignment="1">
      <alignment vertical="center"/>
    </xf>
    <xf numFmtId="41" fontId="44" fillId="3" borderId="4" xfId="6" applyFont="1" applyFill="1" applyBorder="1" applyAlignment="1">
      <alignment vertical="center"/>
    </xf>
    <xf numFmtId="0" fontId="45" fillId="3" borderId="0" xfId="0" applyFont="1" applyFill="1" applyBorder="1" applyAlignment="1">
      <alignment vertical="center"/>
    </xf>
    <xf numFmtId="41" fontId="44" fillId="3" borderId="0" xfId="6" applyFont="1" applyFill="1" applyBorder="1" applyAlignment="1">
      <alignment vertical="center"/>
    </xf>
    <xf numFmtId="0" fontId="44" fillId="3" borderId="0" xfId="0" applyFont="1" applyFill="1" applyBorder="1" applyAlignment="1">
      <alignment vertical="center"/>
    </xf>
    <xf numFmtId="0" fontId="44" fillId="3" borderId="19" xfId="0" applyFont="1" applyFill="1" applyBorder="1" applyAlignment="1">
      <alignment horizontal="center" vertical="center"/>
    </xf>
    <xf numFmtId="0" fontId="44" fillId="3" borderId="10" xfId="0" applyFont="1" applyFill="1" applyBorder="1" applyAlignment="1">
      <alignment vertical="center" wrapText="1"/>
    </xf>
    <xf numFmtId="0" fontId="44" fillId="3" borderId="10" xfId="0" applyFont="1" applyFill="1" applyBorder="1" applyAlignment="1">
      <alignment vertical="center"/>
    </xf>
    <xf numFmtId="41" fontId="44" fillId="3" borderId="10" xfId="6" applyFont="1" applyFill="1" applyBorder="1" applyAlignment="1">
      <alignment vertical="center"/>
    </xf>
    <xf numFmtId="0" fontId="44" fillId="3" borderId="109" xfId="0" applyFont="1" applyFill="1" applyBorder="1" applyAlignment="1">
      <alignment horizontal="left" vertical="center" wrapText="1"/>
    </xf>
    <xf numFmtId="0" fontId="44" fillId="3" borderId="5" xfId="0" applyFont="1" applyFill="1" applyBorder="1" applyAlignment="1">
      <alignment horizontal="center" vertical="center" wrapText="1"/>
    </xf>
    <xf numFmtId="41" fontId="44" fillId="3" borderId="1" xfId="6" applyFont="1" applyFill="1" applyBorder="1" applyAlignment="1">
      <alignment horizontal="left" vertical="center"/>
    </xf>
    <xf numFmtId="0" fontId="44" fillId="3" borderId="0" xfId="0" applyFont="1" applyFill="1" applyBorder="1" applyAlignment="1">
      <alignment horizontal="left" vertical="center" wrapText="1"/>
    </xf>
    <xf numFmtId="0" fontId="44" fillId="3" borderId="6" xfId="0" applyFont="1" applyFill="1" applyBorder="1" applyAlignment="1">
      <alignment horizontal="center" vertical="center" wrapText="1"/>
    </xf>
    <xf numFmtId="0" fontId="44" fillId="3" borderId="10" xfId="0" applyFont="1" applyFill="1" applyBorder="1" applyAlignment="1">
      <alignment horizontal="center" vertical="center" wrapText="1"/>
    </xf>
    <xf numFmtId="41" fontId="44" fillId="3" borderId="10" xfId="6" applyFont="1" applyFill="1" applyBorder="1" applyAlignment="1">
      <alignment horizontal="left" vertical="center"/>
    </xf>
    <xf numFmtId="0" fontId="44" fillId="0" borderId="108" xfId="0" applyFont="1" applyFill="1" applyBorder="1" applyAlignment="1">
      <alignment horizontal="center" vertical="center"/>
    </xf>
    <xf numFmtId="0" fontId="44" fillId="0" borderId="5" xfId="0" applyFont="1" applyFill="1" applyBorder="1" applyAlignment="1">
      <alignment vertical="center" wrapText="1"/>
    </xf>
    <xf numFmtId="0" fontId="44" fillId="0" borderId="5" xfId="0" applyFont="1" applyFill="1" applyBorder="1" applyAlignment="1">
      <alignment horizontal="center" vertical="center" wrapText="1"/>
    </xf>
    <xf numFmtId="41" fontId="53" fillId="0" borderId="5" xfId="6" applyFont="1" applyFill="1" applyBorder="1" applyAlignment="1">
      <alignment horizontal="left" vertical="center"/>
    </xf>
    <xf numFmtId="41" fontId="44" fillId="0" borderId="5" xfId="6" applyFont="1" applyFill="1" applyBorder="1" applyAlignment="1">
      <alignment horizontal="left" vertical="center"/>
    </xf>
    <xf numFmtId="41" fontId="44" fillId="0" borderId="1" xfId="6" applyFont="1" applyFill="1" applyBorder="1" applyAlignment="1">
      <alignment horizontal="left" vertical="center"/>
    </xf>
    <xf numFmtId="14" fontId="44" fillId="0" borderId="1" xfId="0" applyNumberFormat="1" applyFont="1" applyFill="1" applyBorder="1" applyAlignment="1">
      <alignment horizontal="center" vertical="center"/>
    </xf>
    <xf numFmtId="0" fontId="44" fillId="0" borderId="14" xfId="0" applyFont="1" applyFill="1" applyBorder="1" applyAlignment="1">
      <alignment horizontal="center" vertical="center"/>
    </xf>
    <xf numFmtId="0" fontId="44" fillId="0" borderId="0" xfId="0" applyFont="1" applyFill="1" applyBorder="1" applyAlignment="1">
      <alignment horizontal="left" vertical="center" wrapText="1"/>
    </xf>
    <xf numFmtId="0" fontId="44" fillId="0" borderId="6" xfId="0" applyFont="1" applyFill="1" applyBorder="1" applyAlignment="1">
      <alignment horizontal="center" vertical="center" wrapText="1"/>
    </xf>
    <xf numFmtId="41" fontId="44" fillId="0" borderId="6" xfId="6" applyFont="1" applyFill="1" applyBorder="1" applyAlignment="1">
      <alignment horizontal="left" vertical="center"/>
    </xf>
    <xf numFmtId="43" fontId="46" fillId="0" borderId="1" xfId="3" applyFont="1" applyFill="1" applyBorder="1" applyAlignment="1">
      <alignment horizontal="center" vertical="center"/>
    </xf>
    <xf numFmtId="0" fontId="44" fillId="3" borderId="55" xfId="0" applyFont="1" applyFill="1" applyBorder="1" applyAlignment="1">
      <alignment horizontal="left" vertical="center" wrapText="1"/>
    </xf>
    <xf numFmtId="14" fontId="44" fillId="3" borderId="5" xfId="0" applyNumberFormat="1" applyFont="1" applyFill="1" applyBorder="1" applyAlignment="1">
      <alignment horizontal="center" vertical="center"/>
    </xf>
    <xf numFmtId="0" fontId="44" fillId="3" borderId="11" xfId="0" applyFont="1" applyFill="1" applyBorder="1" applyAlignment="1">
      <alignment horizontal="center" vertical="center"/>
    </xf>
    <xf numFmtId="0" fontId="44" fillId="3" borderId="12" xfId="0" applyFont="1" applyFill="1" applyBorder="1" applyAlignment="1">
      <alignment horizontal="left" vertical="center" wrapText="1"/>
    </xf>
    <xf numFmtId="0" fontId="44" fillId="3" borderId="12" xfId="0" applyFont="1" applyFill="1" applyBorder="1" applyAlignment="1">
      <alignment horizontal="center" vertical="center" wrapText="1"/>
    </xf>
    <xf numFmtId="41" fontId="44" fillId="3" borderId="12" xfId="6" applyFont="1" applyFill="1" applyBorder="1" applyAlignment="1">
      <alignment horizontal="left" vertical="center"/>
    </xf>
    <xf numFmtId="14" fontId="44" fillId="3" borderId="12" xfId="0" applyNumberFormat="1" applyFont="1" applyFill="1" applyBorder="1" applyAlignment="1">
      <alignment horizontal="center" vertical="center"/>
    </xf>
    <xf numFmtId="0" fontId="44" fillId="3" borderId="10" xfId="0" applyFont="1" applyFill="1" applyBorder="1" applyAlignment="1">
      <alignment horizontal="left" vertical="center" wrapText="1"/>
    </xf>
    <xf numFmtId="0" fontId="44" fillId="3" borderId="4" xfId="0" applyFont="1" applyFill="1" applyBorder="1" applyAlignment="1">
      <alignment horizontal="left" vertical="center" wrapText="1"/>
    </xf>
    <xf numFmtId="0" fontId="44" fillId="3" borderId="1" xfId="0" applyFont="1" applyFill="1" applyBorder="1" applyAlignment="1">
      <alignment horizontal="center" vertical="center" wrapText="1"/>
    </xf>
    <xf numFmtId="0" fontId="44" fillId="3" borderId="6" xfId="0" applyFont="1" applyFill="1" applyBorder="1" applyAlignment="1">
      <alignment vertical="center" wrapText="1"/>
    </xf>
    <xf numFmtId="0" fontId="43" fillId="0" borderId="0" xfId="1356" applyFont="1" applyAlignment="1"/>
    <xf numFmtId="42" fontId="22" fillId="0" borderId="0" xfId="1356" applyNumberFormat="1" applyFont="1" applyFill="1" applyAlignment="1">
      <alignment horizontal="center"/>
    </xf>
    <xf numFmtId="42" fontId="54" fillId="0" borderId="0" xfId="1356" applyNumberFormat="1" applyFont="1" applyFill="1" applyAlignment="1">
      <alignment horizontal="center"/>
    </xf>
    <xf numFmtId="0" fontId="44" fillId="5" borderId="110" xfId="0" applyFont="1" applyFill="1" applyBorder="1" applyAlignment="1">
      <alignment horizontal="center" vertical="center"/>
    </xf>
    <xf numFmtId="41" fontId="44" fillId="3" borderId="15" xfId="6" applyFont="1" applyFill="1" applyBorder="1" applyAlignment="1">
      <alignment vertical="top" wrapText="1"/>
    </xf>
    <xf numFmtId="0" fontId="44" fillId="3" borderId="15" xfId="0" applyFont="1" applyFill="1" applyBorder="1" applyAlignment="1">
      <alignment horizontal="right" vertical="top" wrapText="1"/>
    </xf>
    <xf numFmtId="0" fontId="44" fillId="3" borderId="15" xfId="0" applyFont="1" applyFill="1" applyBorder="1" applyAlignment="1">
      <alignment horizontal="left" vertical="top" wrapText="1"/>
    </xf>
    <xf numFmtId="0" fontId="44" fillId="3" borderId="111" xfId="0" applyFont="1" applyFill="1" applyBorder="1" applyAlignment="1">
      <alignment vertical="top"/>
    </xf>
    <xf numFmtId="0" fontId="44" fillId="3" borderId="110" xfId="0" applyFont="1" applyFill="1" applyBorder="1"/>
    <xf numFmtId="0" fontId="47" fillId="3" borderId="15" xfId="0" applyFont="1" applyFill="1" applyBorder="1" applyAlignment="1">
      <alignment horizontal="center" vertical="center"/>
    </xf>
    <xf numFmtId="0" fontId="47" fillId="3" borderId="111" xfId="0" applyFont="1" applyFill="1" applyBorder="1" applyAlignment="1">
      <alignment horizontal="center" vertical="center"/>
    </xf>
    <xf numFmtId="43" fontId="48" fillId="3" borderId="15" xfId="3" applyNumberFormat="1" applyFont="1" applyFill="1" applyBorder="1" applyAlignment="1">
      <alignment horizontal="center" vertical="center"/>
    </xf>
    <xf numFmtId="0" fontId="47" fillId="3" borderId="20" xfId="0" applyFont="1" applyFill="1" applyBorder="1" applyAlignment="1">
      <alignment horizontal="center" vertical="center"/>
    </xf>
    <xf numFmtId="0" fontId="55" fillId="3" borderId="20" xfId="0" applyFont="1" applyFill="1" applyBorder="1" applyAlignment="1">
      <alignment horizontal="left" vertical="center" wrapText="1"/>
    </xf>
    <xf numFmtId="0" fontId="44" fillId="3" borderId="111" xfId="0" applyFont="1" applyFill="1" applyBorder="1"/>
    <xf numFmtId="0" fontId="44" fillId="3" borderId="112" xfId="0" applyFont="1" applyFill="1" applyBorder="1" applyAlignment="1">
      <alignment vertical="center" wrapText="1"/>
    </xf>
    <xf numFmtId="41" fontId="46" fillId="3" borderId="0" xfId="6" applyFont="1" applyFill="1" applyAlignment="1">
      <alignment vertical="center"/>
    </xf>
    <xf numFmtId="41" fontId="44" fillId="5" borderId="15" xfId="6" applyFont="1" applyFill="1" applyBorder="1" applyAlignment="1">
      <alignment vertical="center" wrapText="1"/>
    </xf>
    <xf numFmtId="43" fontId="45" fillId="3" borderId="5" xfId="0" applyNumberFormat="1" applyFont="1" applyFill="1" applyBorder="1" applyAlignment="1">
      <alignment vertical="center" wrapText="1"/>
    </xf>
    <xf numFmtId="0" fontId="44" fillId="3" borderId="17" xfId="0" applyFont="1" applyFill="1" applyBorder="1" applyAlignment="1">
      <alignment horizontal="right" vertical="center" wrapText="1"/>
    </xf>
    <xf numFmtId="0" fontId="44" fillId="3" borderId="18" xfId="0" applyFont="1" applyFill="1" applyBorder="1" applyAlignment="1">
      <alignment horizontal="center" vertical="center"/>
    </xf>
    <xf numFmtId="0" fontId="44" fillId="3" borderId="20" xfId="0" applyFont="1" applyFill="1" applyBorder="1" applyAlignment="1">
      <alignment horizontal="right" vertical="center"/>
    </xf>
    <xf numFmtId="41" fontId="46" fillId="3" borderId="0" xfId="6" applyFont="1" applyFill="1" applyBorder="1" applyAlignment="1">
      <alignment vertical="center"/>
    </xf>
    <xf numFmtId="0" fontId="44" fillId="3" borderId="111" xfId="0" applyFont="1" applyFill="1" applyBorder="1" applyAlignment="1">
      <alignment vertical="center"/>
    </xf>
    <xf numFmtId="41" fontId="56" fillId="5" borderId="15" xfId="6" applyFont="1" applyFill="1" applyBorder="1" applyAlignment="1">
      <alignment vertical="center" wrapText="1"/>
    </xf>
    <xf numFmtId="41" fontId="46" fillId="3" borderId="10" xfId="6" applyFont="1" applyFill="1" applyBorder="1" applyAlignment="1">
      <alignment vertical="center"/>
    </xf>
    <xf numFmtId="41" fontId="44" fillId="3" borderId="17" xfId="6" applyFont="1" applyFill="1" applyBorder="1" applyAlignment="1">
      <alignment horizontal="right" vertical="center" wrapText="1"/>
    </xf>
    <xf numFmtId="41" fontId="56" fillId="3" borderId="18" xfId="6" applyFont="1" applyFill="1" applyBorder="1" applyAlignment="1">
      <alignment vertical="center" wrapText="1"/>
    </xf>
    <xf numFmtId="41" fontId="56" fillId="3" borderId="20" xfId="6" applyFont="1" applyFill="1" applyBorder="1" applyAlignment="1">
      <alignment vertical="center" wrapText="1"/>
    </xf>
    <xf numFmtId="41" fontId="44" fillId="0" borderId="17" xfId="6" applyFont="1" applyFill="1" applyBorder="1" applyAlignment="1">
      <alignment horizontal="right" vertical="center" wrapText="1"/>
    </xf>
    <xf numFmtId="41" fontId="57" fillId="0" borderId="18" xfId="6" applyFont="1" applyFill="1" applyBorder="1" applyAlignment="1">
      <alignment vertical="center" wrapText="1"/>
    </xf>
    <xf numFmtId="41" fontId="44" fillId="3" borderId="17" xfId="6" applyFont="1" applyFill="1" applyBorder="1" applyAlignment="1">
      <alignment horizontal="right" vertical="center"/>
    </xf>
    <xf numFmtId="0" fontId="44" fillId="3" borderId="13" xfId="0" applyFont="1" applyFill="1" applyBorder="1" applyAlignment="1">
      <alignment horizontal="left" vertical="center" wrapText="1"/>
    </xf>
    <xf numFmtId="0" fontId="44" fillId="3" borderId="17" xfId="0" applyFont="1" applyFill="1" applyBorder="1" applyAlignment="1">
      <alignment horizontal="left" vertical="center" wrapText="1"/>
    </xf>
    <xf numFmtId="41" fontId="44" fillId="3" borderId="15" xfId="6" applyFont="1" applyFill="1" applyBorder="1" applyAlignment="1">
      <alignment horizontal="right" vertical="center"/>
    </xf>
    <xf numFmtId="0" fontId="44" fillId="3" borderId="53" xfId="0" applyFont="1" applyFill="1" applyBorder="1" applyAlignment="1">
      <alignment horizontal="left" vertical="center" wrapText="1"/>
    </xf>
    <xf numFmtId="41" fontId="45" fillId="3" borderId="1" xfId="6" applyFont="1" applyFill="1" applyBorder="1" applyAlignment="1">
      <alignment vertical="center"/>
    </xf>
    <xf numFmtId="41" fontId="44" fillId="3" borderId="1" xfId="6" applyFont="1" applyFill="1" applyBorder="1" applyAlignment="1">
      <alignment horizontal="center" vertical="center"/>
    </xf>
    <xf numFmtId="41" fontId="44" fillId="3" borderId="1" xfId="6" applyFont="1" applyFill="1" applyBorder="1" applyAlignment="1">
      <alignment horizontal="right" vertical="center"/>
    </xf>
    <xf numFmtId="0" fontId="45" fillId="3" borderId="4" xfId="0" applyFont="1" applyFill="1" applyBorder="1" applyAlignment="1">
      <alignment vertical="center"/>
    </xf>
    <xf numFmtId="0" fontId="44" fillId="3" borderId="56" xfId="0" applyFont="1" applyFill="1" applyBorder="1" applyAlignment="1">
      <alignment horizontal="left" vertical="center" wrapText="1"/>
    </xf>
    <xf numFmtId="41" fontId="44" fillId="5" borderId="10" xfId="6" applyFont="1" applyFill="1" applyBorder="1" applyAlignment="1">
      <alignment vertical="center"/>
    </xf>
    <xf numFmtId="41" fontId="45" fillId="5" borderId="10" xfId="6" applyFont="1" applyFill="1" applyBorder="1" applyAlignment="1">
      <alignment vertical="center"/>
    </xf>
    <xf numFmtId="41" fontId="44" fillId="3" borderId="1" xfId="6" applyFont="1" applyFill="1" applyBorder="1" applyAlignment="1">
      <alignment vertical="center"/>
    </xf>
    <xf numFmtId="41" fontId="44" fillId="3" borderId="5" xfId="6" applyFont="1" applyFill="1" applyBorder="1" applyAlignment="1">
      <alignment vertical="center"/>
    </xf>
    <xf numFmtId="41" fontId="45" fillId="3" borderId="5" xfId="6" applyFont="1" applyFill="1" applyBorder="1" applyAlignment="1">
      <alignment vertical="center"/>
    </xf>
    <xf numFmtId="41" fontId="45" fillId="3" borderId="10" xfId="6" applyFont="1" applyFill="1" applyBorder="1" applyAlignment="1">
      <alignment vertical="center"/>
    </xf>
    <xf numFmtId="0" fontId="44" fillId="3" borderId="63" xfId="0" applyFont="1" applyFill="1" applyBorder="1" applyAlignment="1">
      <alignment horizontal="center" vertical="center"/>
    </xf>
    <xf numFmtId="0" fontId="44" fillId="3" borderId="23" xfId="0" applyFont="1" applyFill="1" applyBorder="1" applyAlignment="1">
      <alignment horizontal="left" vertical="center" wrapText="1"/>
    </xf>
    <xf numFmtId="0" fontId="44" fillId="3" borderId="24" xfId="0" applyFont="1" applyFill="1" applyBorder="1" applyAlignment="1">
      <alignment horizontal="center" vertical="center" wrapText="1"/>
    </xf>
    <xf numFmtId="41" fontId="44" fillId="3" borderId="24" xfId="6" applyFont="1" applyFill="1" applyBorder="1" applyAlignment="1">
      <alignment vertical="center"/>
    </xf>
    <xf numFmtId="41" fontId="45" fillId="3" borderId="24" xfId="6" applyFont="1" applyFill="1" applyBorder="1" applyAlignment="1">
      <alignment vertical="center"/>
    </xf>
    <xf numFmtId="14" fontId="44" fillId="3" borderId="24" xfId="0" applyNumberFormat="1" applyFont="1" applyFill="1" applyBorder="1" applyAlignment="1">
      <alignment horizontal="center" vertical="center"/>
    </xf>
    <xf numFmtId="0" fontId="44" fillId="3" borderId="113" xfId="0" applyFont="1" applyFill="1" applyBorder="1" applyAlignment="1">
      <alignment horizontal="left" vertical="center" wrapText="1"/>
    </xf>
    <xf numFmtId="41" fontId="44" fillId="3" borderId="12" xfId="6" applyFont="1" applyFill="1" applyBorder="1" applyAlignment="1">
      <alignment vertical="center"/>
    </xf>
    <xf numFmtId="41" fontId="45" fillId="3" borderId="12" xfId="6" applyFont="1" applyFill="1" applyBorder="1" applyAlignment="1">
      <alignment vertical="center"/>
    </xf>
    <xf numFmtId="15" fontId="44" fillId="3" borderId="1" xfId="6" applyNumberFormat="1" applyFont="1" applyFill="1" applyBorder="1" applyAlignment="1">
      <alignment horizontal="center" vertical="center"/>
    </xf>
    <xf numFmtId="41" fontId="44" fillId="3" borderId="10" xfId="6" applyFont="1" applyFill="1" applyBorder="1" applyAlignment="1">
      <alignment vertical="center" wrapText="1"/>
    </xf>
    <xf numFmtId="41" fontId="44" fillId="3" borderId="5" xfId="6" applyFont="1" applyFill="1" applyBorder="1" applyAlignment="1">
      <alignment horizontal="left" vertical="center" wrapText="1"/>
    </xf>
    <xf numFmtId="41" fontId="44" fillId="3" borderId="6" xfId="6" applyFont="1" applyFill="1" applyBorder="1" applyAlignment="1">
      <alignment vertical="center"/>
    </xf>
    <xf numFmtId="41" fontId="44" fillId="3" borderId="6" xfId="6" applyFont="1" applyFill="1" applyBorder="1" applyAlignment="1">
      <alignment horizontal="left" vertical="center" wrapText="1"/>
    </xf>
    <xf numFmtId="41" fontId="44" fillId="3" borderId="24" xfId="6" applyFont="1" applyFill="1" applyBorder="1" applyAlignment="1">
      <alignment vertical="center" wrapText="1"/>
    </xf>
    <xf numFmtId="41" fontId="44" fillId="3" borderId="12" xfId="6" applyFont="1" applyFill="1" applyBorder="1" applyAlignment="1">
      <alignment vertical="center" wrapText="1"/>
    </xf>
    <xf numFmtId="14" fontId="44" fillId="3" borderId="6" xfId="0" applyNumberFormat="1" applyFont="1" applyFill="1" applyBorder="1" applyAlignment="1">
      <alignment horizontal="center" vertical="center"/>
    </xf>
    <xf numFmtId="41" fontId="45" fillId="3" borderId="26" xfId="6" applyFont="1" applyFill="1" applyBorder="1" applyAlignment="1">
      <alignment horizontal="center" vertical="center"/>
    </xf>
    <xf numFmtId="41" fontId="44" fillId="3" borderId="10" xfId="6" applyFont="1" applyFill="1" applyBorder="1" applyAlignment="1">
      <alignment horizontal="left" vertical="center" wrapText="1"/>
    </xf>
    <xf numFmtId="41" fontId="44" fillId="3" borderId="1" xfId="6" applyFont="1" applyFill="1" applyBorder="1" applyAlignment="1">
      <alignment vertical="center" wrapText="1"/>
    </xf>
    <xf numFmtId="14" fontId="44" fillId="3" borderId="10" xfId="0" applyNumberFormat="1" applyFont="1" applyFill="1" applyBorder="1" applyAlignment="1">
      <alignment horizontal="center" vertical="center"/>
    </xf>
    <xf numFmtId="41" fontId="44" fillId="3" borderId="14" xfId="6" applyFont="1" applyFill="1" applyBorder="1" applyAlignment="1">
      <alignment vertical="center"/>
    </xf>
    <xf numFmtId="0" fontId="44" fillId="5" borderId="108" xfId="0" applyFont="1" applyFill="1" applyBorder="1" applyAlignment="1">
      <alignment horizontal="center" vertical="center"/>
    </xf>
    <xf numFmtId="0" fontId="44" fillId="3" borderId="105" xfId="0" applyFont="1" applyFill="1" applyBorder="1" applyAlignment="1">
      <alignment horizontal="center" vertical="center" wrapText="1"/>
    </xf>
    <xf numFmtId="41" fontId="44" fillId="3" borderId="1" xfId="6" applyFont="1" applyFill="1" applyBorder="1" applyAlignment="1">
      <alignment horizontal="center" vertical="center" wrapText="1"/>
    </xf>
    <xf numFmtId="0" fontId="44" fillId="3" borderId="1" xfId="0" applyFont="1" applyFill="1" applyBorder="1" applyAlignment="1">
      <alignment horizontal="left" vertical="center" wrapText="1"/>
    </xf>
    <xf numFmtId="14" fontId="44" fillId="3" borderId="1" xfId="6" applyNumberFormat="1" applyFont="1" applyFill="1" applyBorder="1" applyAlignment="1">
      <alignment horizontal="center" vertical="center"/>
    </xf>
    <xf numFmtId="0" fontId="44" fillId="3" borderId="14" xfId="0" applyFont="1" applyFill="1" applyBorder="1" applyAlignment="1">
      <alignment horizontal="center" vertical="center" wrapText="1"/>
    </xf>
    <xf numFmtId="0" fontId="44" fillId="3" borderId="1" xfId="0" applyFont="1" applyFill="1" applyBorder="1" applyAlignment="1">
      <alignment vertical="center" wrapText="1"/>
    </xf>
    <xf numFmtId="41" fontId="44" fillId="3" borderId="56" xfId="6" applyFont="1" applyFill="1" applyBorder="1" applyAlignment="1">
      <alignment horizontal="center" vertical="center" wrapText="1"/>
    </xf>
    <xf numFmtId="0" fontId="44" fillId="3" borderId="56" xfId="0" applyFont="1" applyFill="1" applyBorder="1" applyAlignment="1">
      <alignment horizontal="center" vertical="center" wrapText="1"/>
    </xf>
    <xf numFmtId="41" fontId="46" fillId="3" borderId="4" xfId="6" applyFont="1" applyFill="1" applyBorder="1" applyAlignment="1">
      <alignment vertical="center"/>
    </xf>
    <xf numFmtId="0" fontId="44" fillId="3" borderId="110" xfId="0" applyFont="1" applyFill="1" applyBorder="1" applyAlignment="1">
      <alignment vertical="center"/>
    </xf>
    <xf numFmtId="41" fontId="44" fillId="3" borderId="15" xfId="6" applyFont="1" applyFill="1" applyBorder="1" applyAlignment="1">
      <alignment horizontal="left" vertical="center" wrapText="1"/>
    </xf>
    <xf numFmtId="41" fontId="44" fillId="5" borderId="20" xfId="6" applyFont="1" applyFill="1" applyBorder="1" applyAlignment="1">
      <alignment vertical="center" wrapText="1"/>
    </xf>
    <xf numFmtId="41" fontId="45" fillId="3" borderId="20" xfId="6" applyFont="1" applyFill="1" applyBorder="1" applyAlignment="1">
      <alignment vertical="center"/>
    </xf>
    <xf numFmtId="41" fontId="44" fillId="3" borderId="110" xfId="6" applyFont="1" applyFill="1" applyBorder="1" applyAlignment="1">
      <alignment horizontal="center" vertical="center" wrapText="1"/>
    </xf>
    <xf numFmtId="41" fontId="44" fillId="3" borderId="114" xfId="6" applyFont="1" applyFill="1" applyBorder="1" applyAlignment="1">
      <alignment horizontal="center" vertical="center" wrapText="1"/>
    </xf>
    <xf numFmtId="41" fontId="44" fillId="3" borderId="115" xfId="6" applyFont="1" applyFill="1" applyBorder="1" applyAlignment="1">
      <alignment horizontal="center" vertical="center" wrapText="1"/>
    </xf>
    <xf numFmtId="41" fontId="44" fillId="3" borderId="18" xfId="6" applyFont="1" applyFill="1" applyBorder="1" applyAlignment="1">
      <alignment vertical="center"/>
    </xf>
    <xf numFmtId="41" fontId="44" fillId="3" borderId="116" xfId="6" applyFont="1" applyFill="1" applyBorder="1" applyAlignment="1">
      <alignment horizontal="center" vertical="center" wrapText="1"/>
    </xf>
    <xf numFmtId="41" fontId="44" fillId="3" borderId="25" xfId="6" applyFont="1" applyFill="1" applyBorder="1" applyAlignment="1">
      <alignment horizontal="right" vertical="center"/>
    </xf>
    <xf numFmtId="41" fontId="44" fillId="3" borderId="13" xfId="6" applyFont="1" applyFill="1" applyBorder="1" applyAlignment="1">
      <alignment horizontal="right" vertical="center"/>
    </xf>
    <xf numFmtId="41" fontId="45" fillId="3" borderId="17" xfId="6" applyFont="1" applyFill="1" applyBorder="1" applyAlignment="1">
      <alignment horizontal="right" vertical="center"/>
    </xf>
    <xf numFmtId="41" fontId="45" fillId="3" borderId="6" xfId="6" applyFont="1" applyFill="1" applyBorder="1" applyAlignment="1">
      <alignment vertical="center"/>
    </xf>
    <xf numFmtId="41" fontId="45" fillId="3" borderId="18" xfId="6" applyFont="1" applyFill="1" applyBorder="1" applyAlignment="1">
      <alignment vertical="center"/>
    </xf>
    <xf numFmtId="43" fontId="44" fillId="3" borderId="1" xfId="0" applyNumberFormat="1" applyFont="1" applyFill="1" applyBorder="1" applyAlignment="1">
      <alignment vertical="center"/>
    </xf>
    <xf numFmtId="41" fontId="44" fillId="3" borderId="18" xfId="6" applyFont="1" applyFill="1" applyBorder="1" applyAlignment="1">
      <alignment horizontal="left" vertical="center"/>
    </xf>
    <xf numFmtId="41" fontId="44" fillId="3" borderId="20" xfId="6" applyFont="1" applyFill="1" applyBorder="1" applyAlignment="1">
      <alignment horizontal="right" vertical="center" wrapText="1"/>
    </xf>
    <xf numFmtId="41" fontId="44" fillId="3" borderId="17" xfId="6" applyFont="1" applyFill="1" applyBorder="1" applyAlignment="1">
      <alignment horizontal="left" vertical="center" wrapText="1"/>
    </xf>
    <xf numFmtId="41" fontId="44" fillId="3" borderId="5" xfId="0" applyNumberFormat="1" applyFont="1" applyFill="1" applyBorder="1" applyAlignment="1">
      <alignment horizontal="center" vertical="center"/>
    </xf>
    <xf numFmtId="14" fontId="44" fillId="3" borderId="17" xfId="0" applyNumberFormat="1" applyFont="1" applyFill="1" applyBorder="1" applyAlignment="1">
      <alignment horizontal="right" vertical="center"/>
    </xf>
    <xf numFmtId="1" fontId="44" fillId="3" borderId="20" xfId="0" applyNumberFormat="1" applyFont="1" applyFill="1" applyBorder="1" applyAlignment="1">
      <alignment horizontal="center" vertical="center"/>
    </xf>
    <xf numFmtId="41" fontId="44" fillId="3" borderId="20" xfId="6" applyFont="1" applyFill="1" applyBorder="1" applyAlignment="1">
      <alignment horizontal="right" vertical="center"/>
    </xf>
    <xf numFmtId="43" fontId="44" fillId="3" borderId="1" xfId="0" applyNumberFormat="1" applyFont="1" applyFill="1" applyBorder="1" applyAlignment="1">
      <alignment horizontal="center" vertical="center" wrapText="1"/>
    </xf>
    <xf numFmtId="0" fontId="44" fillId="3" borderId="17" xfId="0" applyFont="1" applyFill="1" applyBorder="1" applyAlignment="1">
      <alignment vertical="center"/>
    </xf>
    <xf numFmtId="0" fontId="44" fillId="3" borderId="17" xfId="0" applyFont="1" applyFill="1" applyBorder="1" applyAlignment="1">
      <alignment horizontal="right" vertical="center"/>
    </xf>
    <xf numFmtId="0" fontId="45" fillId="3" borderId="1" xfId="0" applyFont="1" applyFill="1" applyBorder="1" applyAlignment="1">
      <alignment vertical="center"/>
    </xf>
    <xf numFmtId="41" fontId="45" fillId="3" borderId="1" xfId="0" applyNumberFormat="1" applyFont="1" applyFill="1" applyBorder="1" applyAlignment="1">
      <alignment vertical="center"/>
    </xf>
    <xf numFmtId="15" fontId="44" fillId="3" borderId="10" xfId="6" applyNumberFormat="1" applyFont="1" applyFill="1" applyBorder="1" applyAlignment="1">
      <alignment horizontal="center" vertical="center"/>
    </xf>
    <xf numFmtId="0" fontId="44" fillId="3" borderId="24" xfId="0" applyFont="1" applyFill="1" applyBorder="1" applyAlignment="1">
      <alignment vertical="center" wrapText="1"/>
    </xf>
    <xf numFmtId="0" fontId="45" fillId="3" borderId="24" xfId="0" applyFont="1" applyFill="1" applyBorder="1" applyAlignment="1">
      <alignment vertical="center"/>
    </xf>
    <xf numFmtId="41" fontId="45" fillId="3" borderId="24" xfId="0" applyNumberFormat="1" applyFont="1" applyFill="1" applyBorder="1" applyAlignment="1">
      <alignment vertical="center"/>
    </xf>
    <xf numFmtId="15" fontId="44" fillId="3" borderId="24" xfId="6" applyNumberFormat="1" applyFont="1" applyFill="1" applyBorder="1" applyAlignment="1">
      <alignment horizontal="center" vertical="center"/>
    </xf>
    <xf numFmtId="0" fontId="44" fillId="3" borderId="12" xfId="0" applyFont="1" applyFill="1" applyBorder="1" applyAlignment="1">
      <alignment vertical="center" wrapText="1"/>
    </xf>
    <xf numFmtId="0" fontId="45" fillId="3" borderId="12" xfId="0" applyFont="1" applyFill="1" applyBorder="1" applyAlignment="1">
      <alignment vertical="center"/>
    </xf>
    <xf numFmtId="41" fontId="45" fillId="3" borderId="12" xfId="0" applyNumberFormat="1" applyFont="1" applyFill="1" applyBorder="1" applyAlignment="1">
      <alignment vertical="center"/>
    </xf>
    <xf numFmtId="15" fontId="44" fillId="3" borderId="12" xfId="6" applyNumberFormat="1" applyFont="1" applyFill="1" applyBorder="1" applyAlignment="1">
      <alignment horizontal="center" vertical="center"/>
    </xf>
    <xf numFmtId="0" fontId="46" fillId="3" borderId="1" xfId="0" applyFont="1" applyFill="1" applyBorder="1" applyAlignment="1">
      <alignment horizontal="left" vertical="center" wrapText="1"/>
    </xf>
    <xf numFmtId="0" fontId="44" fillId="3" borderId="5" xfId="0" applyFont="1" applyFill="1" applyBorder="1" applyAlignment="1">
      <alignment vertical="center" wrapText="1"/>
    </xf>
    <xf numFmtId="0" fontId="44" fillId="3" borderId="6" xfId="0" applyFont="1" applyFill="1" applyBorder="1" applyAlignment="1">
      <alignment vertical="center"/>
    </xf>
    <xf numFmtId="41" fontId="44" fillId="3" borderId="5" xfId="0" applyNumberFormat="1" applyFont="1" applyFill="1" applyBorder="1" applyAlignment="1">
      <alignment vertical="center"/>
    </xf>
    <xf numFmtId="41" fontId="44" fillId="3" borderId="1" xfId="0" applyNumberFormat="1" applyFont="1" applyFill="1" applyBorder="1" applyAlignment="1">
      <alignment vertical="center"/>
    </xf>
    <xf numFmtId="0" fontId="44" fillId="3" borderId="117" xfId="0" applyFont="1" applyFill="1" applyBorder="1" applyAlignment="1">
      <alignment horizontal="center" vertical="center"/>
    </xf>
    <xf numFmtId="41" fontId="44" fillId="3" borderId="1" xfId="6" applyFont="1" applyFill="1" applyBorder="1" applyAlignment="1">
      <alignment horizontal="left" vertical="center" wrapText="1"/>
    </xf>
    <xf numFmtId="0" fontId="44" fillId="5" borderId="105" xfId="0" applyFont="1" applyFill="1" applyBorder="1" applyAlignment="1">
      <alignment horizontal="center" vertical="center" wrapText="1"/>
    </xf>
    <xf numFmtId="0" fontId="44" fillId="3" borderId="1" xfId="0" applyFont="1" applyFill="1" applyBorder="1" applyAlignment="1">
      <alignment vertical="center"/>
    </xf>
    <xf numFmtId="0" fontId="44" fillId="5" borderId="22" xfId="0" applyFont="1" applyFill="1" applyBorder="1" applyAlignment="1">
      <alignment horizontal="center" vertical="center" wrapText="1"/>
    </xf>
    <xf numFmtId="41" fontId="44" fillId="5" borderId="24" xfId="6" applyFont="1" applyFill="1" applyBorder="1" applyAlignment="1">
      <alignment vertical="center"/>
    </xf>
    <xf numFmtId="0" fontId="44" fillId="5" borderId="118" xfId="0" applyFont="1" applyFill="1" applyBorder="1" applyAlignment="1">
      <alignment horizontal="center" vertical="center" wrapText="1"/>
    </xf>
    <xf numFmtId="41" fontId="44" fillId="5" borderId="12" xfId="6" applyFont="1" applyFill="1" applyBorder="1" applyAlignment="1">
      <alignment horizontal="center" vertical="center" wrapText="1"/>
    </xf>
    <xf numFmtId="41" fontId="44" fillId="5" borderId="12" xfId="6" applyFont="1" applyFill="1" applyBorder="1" applyAlignment="1">
      <alignment vertical="center"/>
    </xf>
    <xf numFmtId="0" fontId="44" fillId="5" borderId="21" xfId="0" applyFont="1" applyFill="1" applyBorder="1" applyAlignment="1">
      <alignment horizontal="center" vertical="center" wrapText="1"/>
    </xf>
    <xf numFmtId="41" fontId="44" fillId="5" borderId="10" xfId="6" applyFont="1" applyFill="1" applyBorder="1" applyAlignment="1">
      <alignment horizontal="center" vertical="center" wrapText="1"/>
    </xf>
    <xf numFmtId="43" fontId="44" fillId="5" borderId="26" xfId="3" applyNumberFormat="1" applyFont="1" applyFill="1" applyBorder="1" applyAlignment="1">
      <alignment horizontal="center" vertical="center"/>
    </xf>
    <xf numFmtId="0" fontId="44" fillId="5" borderId="55" xfId="0" applyFont="1" applyFill="1" applyBorder="1" applyAlignment="1">
      <alignment horizontal="center" vertical="center"/>
    </xf>
    <xf numFmtId="43" fontId="44" fillId="5" borderId="10" xfId="3" applyNumberFormat="1" applyFont="1" applyFill="1" applyBorder="1" applyAlignment="1">
      <alignment horizontal="center" vertical="center"/>
    </xf>
    <xf numFmtId="0" fontId="44" fillId="3" borderId="119" xfId="0" applyFont="1" applyFill="1" applyBorder="1" applyAlignment="1">
      <alignment horizontal="center" vertical="center"/>
    </xf>
    <xf numFmtId="0" fontId="44" fillId="3" borderId="109" xfId="0" applyFont="1" applyFill="1" applyBorder="1" applyAlignment="1">
      <alignment vertical="center"/>
    </xf>
    <xf numFmtId="41" fontId="44" fillId="3" borderId="109" xfId="6" applyFont="1" applyFill="1" applyBorder="1" applyAlignment="1">
      <alignment vertical="center"/>
    </xf>
    <xf numFmtId="0" fontId="45" fillId="3" borderId="109" xfId="0" applyFont="1" applyFill="1" applyBorder="1" applyAlignment="1">
      <alignment vertical="center"/>
    </xf>
    <xf numFmtId="15" fontId="44" fillId="3" borderId="109" xfId="0" applyNumberFormat="1" applyFont="1" applyFill="1" applyBorder="1" applyAlignment="1">
      <alignment vertical="center"/>
    </xf>
    <xf numFmtId="0" fontId="44" fillId="5" borderId="117" xfId="0" applyFont="1" applyFill="1" applyBorder="1" applyAlignment="1">
      <alignment vertical="center"/>
    </xf>
    <xf numFmtId="0" fontId="44" fillId="5" borderId="55" xfId="0" applyFont="1" applyFill="1" applyBorder="1" applyAlignment="1">
      <alignment vertical="center"/>
    </xf>
    <xf numFmtId="41" fontId="44" fillId="5" borderId="55" xfId="6" applyFont="1" applyFill="1" applyBorder="1" applyAlignment="1">
      <alignment horizontal="center" vertical="center"/>
    </xf>
    <xf numFmtId="0" fontId="45" fillId="5" borderId="55" xfId="0" applyFont="1" applyFill="1" applyBorder="1" applyAlignment="1">
      <alignment horizontal="center" vertical="center"/>
    </xf>
    <xf numFmtId="41" fontId="44" fillId="5" borderId="55" xfId="6" applyFont="1" applyFill="1" applyBorder="1" applyAlignment="1">
      <alignment horizontal="center" vertical="center" wrapText="1"/>
    </xf>
    <xf numFmtId="0" fontId="44" fillId="3" borderId="108" xfId="0" applyFont="1" applyFill="1" applyBorder="1" applyAlignment="1">
      <alignment horizontal="center" vertical="center" wrapText="1"/>
    </xf>
    <xf numFmtId="15" fontId="44" fillId="3" borderId="1" xfId="0" applyNumberFormat="1" applyFont="1" applyFill="1" applyBorder="1" applyAlignment="1">
      <alignment horizontal="left" vertical="center" wrapText="1"/>
    </xf>
    <xf numFmtId="0" fontId="44" fillId="3" borderId="26" xfId="0" applyFont="1" applyFill="1" applyBorder="1" applyAlignment="1">
      <alignment horizontal="center" vertical="center" wrapText="1"/>
    </xf>
    <xf numFmtId="0" fontId="45" fillId="3" borderId="6" xfId="0" applyFont="1" applyFill="1" applyBorder="1" applyAlignment="1">
      <alignment horizontal="left" vertical="center" wrapText="1"/>
    </xf>
    <xf numFmtId="41" fontId="44" fillId="3" borderId="6" xfId="6" applyFont="1" applyFill="1" applyBorder="1" applyAlignment="1">
      <alignment horizontal="center" vertical="center" wrapText="1"/>
    </xf>
    <xf numFmtId="0" fontId="45" fillId="3" borderId="10" xfId="0" applyFont="1" applyFill="1" applyBorder="1" applyAlignment="1">
      <alignment horizontal="left" vertical="center" wrapText="1"/>
    </xf>
    <xf numFmtId="41" fontId="44" fillId="3" borderId="10" xfId="6" applyFont="1" applyFill="1" applyBorder="1" applyAlignment="1">
      <alignment horizontal="center" vertical="center" wrapText="1"/>
    </xf>
    <xf numFmtId="15" fontId="44" fillId="3" borderId="6" xfId="0" applyNumberFormat="1" applyFont="1" applyFill="1" applyBorder="1" applyAlignment="1">
      <alignment horizontal="left" vertical="center" wrapText="1"/>
    </xf>
    <xf numFmtId="3" fontId="44" fillId="3" borderId="1" xfId="0" applyNumberFormat="1" applyFont="1" applyFill="1" applyBorder="1" applyAlignment="1">
      <alignment horizontal="left" vertical="center" wrapText="1"/>
    </xf>
    <xf numFmtId="179" fontId="44" fillId="3" borderId="5" xfId="0" applyNumberFormat="1" applyFont="1" applyFill="1" applyBorder="1" applyAlignment="1">
      <alignment horizontal="left" vertical="center" wrapText="1"/>
    </xf>
    <xf numFmtId="41" fontId="44" fillId="3" borderId="27" xfId="6" applyFont="1" applyFill="1" applyBorder="1" applyAlignment="1">
      <alignment vertical="center"/>
    </xf>
    <xf numFmtId="41" fontId="44" fillId="3" borderId="1" xfId="6" applyFont="1" applyFill="1" applyBorder="1" applyAlignment="1" applyProtection="1">
      <alignment horizontal="left" vertical="center" wrapText="1"/>
      <protection locked="0"/>
    </xf>
    <xf numFmtId="0" fontId="44" fillId="3" borderId="24" xfId="0" applyFont="1" applyFill="1" applyBorder="1" applyAlignment="1">
      <alignment vertical="center"/>
    </xf>
    <xf numFmtId="0" fontId="44" fillId="3" borderId="25" xfId="0" applyFont="1" applyFill="1" applyBorder="1" applyAlignment="1">
      <alignment vertical="center"/>
    </xf>
    <xf numFmtId="0" fontId="44" fillId="3" borderId="12" xfId="0" applyFont="1" applyFill="1" applyBorder="1" applyAlignment="1">
      <alignment vertical="center"/>
    </xf>
    <xf numFmtId="0" fontId="44" fillId="3" borderId="13" xfId="0" applyFont="1" applyFill="1" applyBorder="1" applyAlignment="1">
      <alignment vertical="center"/>
    </xf>
    <xf numFmtId="0" fontId="44" fillId="3" borderId="15" xfId="0" applyFont="1" applyFill="1" applyBorder="1" applyAlignment="1">
      <alignment vertical="center"/>
    </xf>
    <xf numFmtId="41" fontId="46" fillId="3" borderId="1" xfId="6" applyFont="1" applyFill="1" applyBorder="1" applyAlignment="1">
      <alignment horizontal="center" vertical="center"/>
    </xf>
    <xf numFmtId="41" fontId="46" fillId="5" borderId="20" xfId="6" applyFont="1" applyFill="1" applyBorder="1" applyAlignment="1">
      <alignment vertical="center" wrapText="1"/>
    </xf>
    <xf numFmtId="41" fontId="56" fillId="5" borderId="24" xfId="6" applyFont="1" applyFill="1" applyBorder="1" applyAlignment="1">
      <alignment vertical="center"/>
    </xf>
    <xf numFmtId="41" fontId="56" fillId="5" borderId="25" xfId="6" applyFont="1" applyFill="1" applyBorder="1" applyAlignment="1">
      <alignment vertical="center" wrapText="1"/>
    </xf>
    <xf numFmtId="41" fontId="44" fillId="3" borderId="12" xfId="6" applyFont="1" applyFill="1" applyBorder="1" applyAlignment="1">
      <alignment horizontal="center" vertical="center"/>
    </xf>
    <xf numFmtId="41" fontId="44" fillId="3" borderId="13" xfId="6" applyFont="1" applyFill="1" applyBorder="1" applyAlignment="1">
      <alignment horizontal="left" vertical="center" wrapText="1"/>
    </xf>
    <xf numFmtId="41" fontId="56" fillId="5" borderId="10" xfId="6" applyFont="1" applyFill="1" applyBorder="1" applyAlignment="1">
      <alignment vertical="center"/>
    </xf>
    <xf numFmtId="41" fontId="56" fillId="5" borderId="20" xfId="6" applyFont="1" applyFill="1" applyBorder="1" applyAlignment="1">
      <alignment vertical="center" wrapText="1"/>
    </xf>
    <xf numFmtId="0" fontId="45" fillId="3" borderId="15" xfId="0" applyFont="1" applyFill="1" applyBorder="1" applyAlignment="1">
      <alignment vertical="center"/>
    </xf>
    <xf numFmtId="43" fontId="44" fillId="5" borderId="20" xfId="3" applyFont="1" applyFill="1" applyBorder="1" applyAlignment="1">
      <alignment horizontal="center" vertical="center" wrapText="1"/>
    </xf>
    <xf numFmtId="41" fontId="46" fillId="3" borderId="109" xfId="6" applyFont="1" applyFill="1" applyBorder="1" applyAlignment="1">
      <alignment vertical="center"/>
    </xf>
    <xf numFmtId="0" fontId="44" fillId="3" borderId="120" xfId="0" applyFont="1" applyFill="1" applyBorder="1" applyAlignment="1">
      <alignment vertical="center"/>
    </xf>
    <xf numFmtId="41" fontId="46" fillId="5" borderId="55" xfId="6" applyFont="1" applyFill="1" applyBorder="1" applyAlignment="1">
      <alignment horizontal="center" vertical="center"/>
    </xf>
    <xf numFmtId="0" fontId="44" fillId="5" borderId="116" xfId="0" applyFont="1" applyFill="1" applyBorder="1" applyAlignment="1">
      <alignment horizontal="center" vertical="center"/>
    </xf>
    <xf numFmtId="179" fontId="44" fillId="3" borderId="10" xfId="0" applyNumberFormat="1" applyFont="1" applyFill="1" applyBorder="1" applyAlignment="1">
      <alignment horizontal="left" vertical="center" wrapText="1"/>
    </xf>
    <xf numFmtId="41" fontId="44" fillId="3" borderId="15" xfId="6" applyFont="1" applyFill="1" applyBorder="1" applyAlignment="1">
      <alignment horizontal="right" vertical="center" wrapText="1"/>
    </xf>
    <xf numFmtId="0" fontId="44" fillId="3" borderId="20" xfId="0" applyFont="1" applyFill="1" applyBorder="1" applyAlignment="1">
      <alignment horizontal="left" vertical="center" wrapText="1"/>
    </xf>
    <xf numFmtId="0" fontId="44" fillId="3" borderId="20" xfId="0" applyFont="1" applyFill="1" applyBorder="1" applyAlignment="1">
      <alignment horizontal="right" vertical="center" wrapText="1"/>
    </xf>
    <xf numFmtId="15" fontId="44" fillId="3" borderId="5" xfId="0" applyNumberFormat="1" applyFont="1" applyFill="1" applyBorder="1" applyAlignment="1">
      <alignment horizontal="left" vertical="center" wrapText="1"/>
    </xf>
    <xf numFmtId="0" fontId="44" fillId="3" borderId="62" xfId="0" applyFont="1" applyFill="1" applyBorder="1" applyAlignment="1">
      <alignment horizontal="left" vertical="center" wrapText="1"/>
    </xf>
    <xf numFmtId="41" fontId="44" fillId="3" borderId="12" xfId="6" applyFont="1" applyFill="1" applyBorder="1" applyAlignment="1">
      <alignment horizontal="left" vertical="center" wrapText="1"/>
    </xf>
    <xf numFmtId="41" fontId="44" fillId="3" borderId="12" xfId="6" applyFont="1" applyFill="1" applyBorder="1" applyAlignment="1">
      <alignment horizontal="center" vertical="center" wrapText="1"/>
    </xf>
    <xf numFmtId="15" fontId="44" fillId="3" borderId="12" xfId="0" applyNumberFormat="1" applyFont="1" applyFill="1" applyBorder="1" applyAlignment="1">
      <alignment horizontal="left" vertical="center" wrapText="1"/>
    </xf>
    <xf numFmtId="15" fontId="44" fillId="3" borderId="10" xfId="0" applyNumberFormat="1" applyFont="1" applyFill="1" applyBorder="1" applyAlignment="1">
      <alignment horizontal="left" vertical="center" wrapText="1"/>
    </xf>
    <xf numFmtId="41" fontId="44" fillId="3" borderId="5" xfId="6" applyFont="1" applyFill="1" applyBorder="1" applyAlignment="1">
      <alignment horizontal="right" vertical="center" wrapText="1"/>
    </xf>
    <xf numFmtId="3" fontId="44" fillId="3" borderId="6" xfId="0" applyNumberFormat="1" applyFont="1" applyFill="1" applyBorder="1" applyAlignment="1">
      <alignment horizontal="left" vertical="center" wrapText="1"/>
    </xf>
    <xf numFmtId="189" fontId="44" fillId="3" borderId="6" xfId="0" applyNumberFormat="1" applyFont="1" applyFill="1" applyBorder="1" applyAlignment="1">
      <alignment horizontal="left" vertical="center" wrapText="1"/>
    </xf>
    <xf numFmtId="3" fontId="44" fillId="3" borderId="10" xfId="0" applyNumberFormat="1" applyFont="1" applyFill="1" applyBorder="1" applyAlignment="1">
      <alignment horizontal="left" vertical="center" wrapText="1"/>
    </xf>
    <xf numFmtId="3" fontId="44" fillId="3" borderId="5" xfId="0" applyNumberFormat="1" applyFont="1" applyFill="1" applyBorder="1" applyAlignment="1">
      <alignment horizontal="left" vertical="center" wrapText="1"/>
    </xf>
    <xf numFmtId="41" fontId="46" fillId="0" borderId="1" xfId="6" applyFont="1" applyBorder="1" applyAlignment="1">
      <alignment horizontal="left" vertical="center"/>
    </xf>
    <xf numFmtId="0" fontId="58" fillId="0" borderId="2" xfId="0" applyFont="1" applyFill="1" applyBorder="1" applyAlignment="1">
      <alignment horizontal="left" vertical="center" wrapText="1"/>
    </xf>
    <xf numFmtId="41" fontId="46" fillId="0" borderId="10" xfId="6" applyFont="1" applyBorder="1" applyAlignment="1">
      <alignment horizontal="left" vertical="center"/>
    </xf>
    <xf numFmtId="0" fontId="46" fillId="0" borderId="2" xfId="0" applyFont="1" applyFill="1" applyBorder="1" applyAlignment="1">
      <alignment horizontal="left" vertical="center" wrapText="1"/>
    </xf>
    <xf numFmtId="0" fontId="44" fillId="5" borderId="1" xfId="0" applyFont="1" applyFill="1" applyBorder="1" applyAlignment="1">
      <alignment horizontal="left" vertical="center" wrapText="1"/>
    </xf>
    <xf numFmtId="41" fontId="44" fillId="5" borderId="1" xfId="6" applyFont="1" applyFill="1" applyBorder="1" applyAlignment="1">
      <alignment horizontal="left" vertical="center" wrapText="1"/>
    </xf>
    <xf numFmtId="15" fontId="44" fillId="5" borderId="1" xfId="0" applyNumberFormat="1" applyFont="1" applyFill="1" applyBorder="1" applyAlignment="1">
      <alignment horizontal="left" vertical="center" wrapText="1"/>
    </xf>
    <xf numFmtId="0" fontId="44" fillId="3" borderId="55" xfId="0" applyFont="1" applyFill="1" applyBorder="1" applyAlignment="1">
      <alignment horizontal="center" vertical="center"/>
    </xf>
    <xf numFmtId="43" fontId="44" fillId="3" borderId="10" xfId="3" applyNumberFormat="1" applyFont="1" applyFill="1" applyBorder="1" applyAlignment="1">
      <alignment horizontal="center" vertical="center"/>
    </xf>
    <xf numFmtId="0" fontId="47" fillId="14" borderId="63" xfId="0" applyFont="1" applyFill="1" applyBorder="1" applyAlignment="1">
      <alignment horizontal="center" vertical="center"/>
    </xf>
    <xf numFmtId="0" fontId="44" fillId="14" borderId="24" xfId="0" applyFont="1" applyFill="1" applyBorder="1" applyAlignment="1">
      <alignment horizontal="center" vertical="center" wrapText="1"/>
    </xf>
    <xf numFmtId="0" fontId="47" fillId="14" borderId="23" xfId="0" applyFont="1" applyFill="1" applyBorder="1" applyAlignment="1">
      <alignment horizontal="center" vertical="center"/>
    </xf>
    <xf numFmtId="43" fontId="47" fillId="14" borderId="24" xfId="3" applyNumberFormat="1" applyFont="1" applyFill="1" applyBorder="1" applyAlignment="1">
      <alignment horizontal="center" vertical="center"/>
    </xf>
    <xf numFmtId="0" fontId="44" fillId="5" borderId="106" xfId="0" applyFont="1" applyFill="1" applyBorder="1" applyAlignment="1">
      <alignment horizontal="center" vertical="center" wrapText="1"/>
    </xf>
    <xf numFmtId="0" fontId="44" fillId="5" borderId="9" xfId="0" applyFont="1" applyFill="1" applyBorder="1" applyAlignment="1">
      <alignment horizontal="left" vertical="center" wrapText="1"/>
    </xf>
    <xf numFmtId="41" fontId="44" fillId="5" borderId="9" xfId="6" applyFont="1" applyFill="1" applyBorder="1" applyAlignment="1">
      <alignment horizontal="left" vertical="center" wrapText="1"/>
    </xf>
    <xf numFmtId="15" fontId="44" fillId="5" borderId="9" xfId="0" applyNumberFormat="1" applyFont="1" applyFill="1" applyBorder="1" applyAlignment="1">
      <alignment horizontal="left" vertical="center" wrapText="1"/>
    </xf>
    <xf numFmtId="0" fontId="47" fillId="3" borderId="11" xfId="0" applyFont="1" applyFill="1" applyBorder="1" applyAlignment="1">
      <alignment horizontal="center" vertical="center"/>
    </xf>
    <xf numFmtId="0" fontId="47" fillId="3" borderId="12" xfId="0" applyFont="1" applyFill="1" applyBorder="1" applyAlignment="1">
      <alignment horizontal="center" vertical="center"/>
    </xf>
    <xf numFmtId="43" fontId="47" fillId="3" borderId="12" xfId="3" applyNumberFormat="1" applyFont="1" applyFill="1" applyBorder="1" applyAlignment="1">
      <alignment horizontal="center" vertical="center"/>
    </xf>
    <xf numFmtId="0" fontId="47" fillId="3" borderId="105" xfId="0" applyFont="1" applyFill="1" applyBorder="1" applyAlignment="1">
      <alignment vertical="center"/>
    </xf>
    <xf numFmtId="0" fontId="47" fillId="3" borderId="55" xfId="0" applyFont="1" applyFill="1" applyBorder="1" applyAlignment="1">
      <alignment horizontal="center" vertical="center"/>
    </xf>
    <xf numFmtId="0" fontId="47" fillId="3" borderId="14" xfId="0" applyFont="1" applyFill="1" applyBorder="1" applyAlignment="1">
      <alignment vertical="center"/>
    </xf>
    <xf numFmtId="43" fontId="47" fillId="3" borderId="1" xfId="0" applyNumberFormat="1" applyFont="1" applyFill="1" applyBorder="1" applyAlignment="1">
      <alignment horizontal="center" vertical="center"/>
    </xf>
    <xf numFmtId="0" fontId="44" fillId="3" borderId="19" xfId="0" applyFont="1" applyFill="1" applyBorder="1" applyAlignment="1">
      <alignment vertical="center"/>
    </xf>
    <xf numFmtId="41" fontId="55" fillId="3" borderId="0" xfId="6" applyFont="1" applyFill="1" applyBorder="1" applyAlignment="1">
      <alignment vertical="center"/>
    </xf>
    <xf numFmtId="0" fontId="44" fillId="3" borderId="106" xfId="0" applyFont="1" applyFill="1" applyBorder="1"/>
    <xf numFmtId="0" fontId="50" fillId="3" borderId="9" xfId="0" applyFont="1" applyFill="1" applyBorder="1" applyAlignment="1">
      <alignment vertical="center" wrapText="1"/>
    </xf>
    <xf numFmtId="0" fontId="44" fillId="3" borderId="9" xfId="0" applyFont="1" applyFill="1" applyBorder="1"/>
    <xf numFmtId="41" fontId="44" fillId="3" borderId="9" xfId="6" applyFont="1" applyFill="1" applyBorder="1"/>
    <xf numFmtId="41" fontId="48" fillId="3" borderId="9" xfId="6" applyFont="1" applyFill="1" applyBorder="1" applyAlignment="1">
      <alignment vertical="center"/>
    </xf>
    <xf numFmtId="0" fontId="44" fillId="3" borderId="0" xfId="0" applyFont="1" applyFill="1"/>
    <xf numFmtId="41" fontId="44" fillId="3" borderId="0" xfId="6" applyFont="1" applyFill="1"/>
    <xf numFmtId="0" fontId="44" fillId="3" borderId="0" xfId="0" applyFont="1" applyFill="1" applyAlignment="1"/>
    <xf numFmtId="0" fontId="44" fillId="5" borderId="4" xfId="0" applyFont="1" applyFill="1" applyBorder="1" applyAlignment="1">
      <alignment horizontal="center" vertical="center"/>
    </xf>
    <xf numFmtId="0" fontId="44" fillId="5" borderId="1" xfId="0" applyFont="1" applyFill="1" applyBorder="1" applyAlignment="1">
      <alignment horizontal="left" wrapText="1"/>
    </xf>
    <xf numFmtId="0" fontId="44" fillId="5" borderId="1" xfId="0" applyFont="1" applyFill="1" applyBorder="1" applyAlignment="1">
      <alignment horizontal="center" vertical="center" wrapText="1"/>
    </xf>
    <xf numFmtId="41" fontId="44" fillId="5" borderId="1" xfId="6" applyFont="1" applyFill="1" applyBorder="1" applyAlignment="1">
      <alignment vertical="top" wrapText="1"/>
    </xf>
    <xf numFmtId="0" fontId="44" fillId="3" borderId="108" xfId="0" applyFont="1" applyFill="1" applyBorder="1" applyAlignment="1">
      <alignment horizontal="center" vertical="top"/>
    </xf>
    <xf numFmtId="0" fontId="44" fillId="3" borderId="5" xfId="0" applyFont="1" applyFill="1" applyBorder="1" applyAlignment="1">
      <alignment horizontal="left" vertical="top" wrapText="1"/>
    </xf>
    <xf numFmtId="0" fontId="44" fillId="3" borderId="6" xfId="0" applyFont="1" applyFill="1" applyBorder="1" applyAlignment="1">
      <alignment horizontal="center" vertical="top" wrapText="1"/>
    </xf>
    <xf numFmtId="0" fontId="44" fillId="3" borderId="0" xfId="0" applyFont="1" applyFill="1" applyBorder="1" applyAlignment="1">
      <alignment vertical="top" wrapText="1"/>
    </xf>
    <xf numFmtId="41" fontId="44" fillId="3" borderId="5" xfId="6" applyFont="1" applyFill="1" applyBorder="1" applyAlignment="1">
      <alignment horizontal="center" vertical="top" wrapText="1"/>
    </xf>
    <xf numFmtId="43" fontId="44" fillId="3" borderId="1" xfId="3" applyFont="1" applyFill="1" applyBorder="1" applyAlignment="1">
      <alignment horizontal="center" vertical="top"/>
    </xf>
    <xf numFmtId="14" fontId="44" fillId="3" borderId="1" xfId="0" applyNumberFormat="1" applyFont="1" applyFill="1" applyBorder="1" applyAlignment="1">
      <alignment horizontal="center" vertical="top"/>
    </xf>
    <xf numFmtId="0" fontId="44" fillId="3" borderId="14" xfId="0" applyFont="1" applyFill="1" applyBorder="1" applyAlignment="1">
      <alignment horizontal="center" vertical="top"/>
    </xf>
    <xf numFmtId="0" fontId="44" fillId="3" borderId="6" xfId="0" applyFont="1" applyFill="1" applyBorder="1" applyAlignment="1">
      <alignment horizontal="left" vertical="top" wrapText="1"/>
    </xf>
    <xf numFmtId="41" fontId="44" fillId="3" borderId="6" xfId="6" applyFont="1" applyFill="1" applyBorder="1" applyAlignment="1">
      <alignment horizontal="center" vertical="top" wrapText="1"/>
    </xf>
    <xf numFmtId="0" fontId="44" fillId="3" borderId="18" xfId="0" applyFont="1" applyFill="1" applyBorder="1" applyAlignment="1">
      <alignment horizontal="right" vertical="center" wrapText="1"/>
    </xf>
    <xf numFmtId="0" fontId="44" fillId="3" borderId="13" xfId="0" applyFont="1" applyFill="1" applyBorder="1" applyAlignment="1">
      <alignment horizontal="right" vertical="center" wrapText="1"/>
    </xf>
    <xf numFmtId="3" fontId="44" fillId="3" borderId="17" xfId="0" applyNumberFormat="1" applyFont="1" applyFill="1" applyBorder="1" applyAlignment="1">
      <alignment horizontal="left" vertical="center" wrapText="1"/>
    </xf>
    <xf numFmtId="3" fontId="44" fillId="3" borderId="20" xfId="0" applyNumberFormat="1" applyFont="1" applyFill="1" applyBorder="1" applyAlignment="1">
      <alignment horizontal="left" vertical="center" wrapText="1"/>
    </xf>
    <xf numFmtId="3" fontId="44" fillId="3" borderId="15" xfId="0" applyNumberFormat="1" applyFont="1" applyFill="1" applyBorder="1" applyAlignment="1">
      <alignment horizontal="right" vertical="center" wrapText="1"/>
    </xf>
    <xf numFmtId="3" fontId="44" fillId="3" borderId="15" xfId="0" applyNumberFormat="1" applyFont="1" applyFill="1" applyBorder="1" applyAlignment="1">
      <alignment horizontal="left" vertical="center" wrapText="1"/>
    </xf>
    <xf numFmtId="0" fontId="44" fillId="5" borderId="15" xfId="0" applyFont="1" applyFill="1" applyBorder="1" applyAlignment="1">
      <alignment horizontal="left" vertical="center" wrapText="1"/>
    </xf>
    <xf numFmtId="43" fontId="44" fillId="3" borderId="20" xfId="3" applyFont="1" applyFill="1" applyBorder="1" applyAlignment="1">
      <alignment horizontal="center" vertical="center" wrapText="1"/>
    </xf>
    <xf numFmtId="0" fontId="59" fillId="14" borderId="25" xfId="0" applyFont="1" applyFill="1" applyBorder="1" applyAlignment="1">
      <alignment horizontal="center" vertical="center" wrapText="1"/>
    </xf>
    <xf numFmtId="0" fontId="44" fillId="5" borderId="112" xfId="0" applyFont="1" applyFill="1" applyBorder="1" applyAlignment="1">
      <alignment horizontal="left" vertical="center" wrapText="1"/>
    </xf>
    <xf numFmtId="43" fontId="44" fillId="3" borderId="13" xfId="3" applyFont="1" applyFill="1" applyBorder="1" applyAlignment="1">
      <alignment horizontal="center" vertical="center" wrapText="1"/>
    </xf>
    <xf numFmtId="43" fontId="44" fillId="3" borderId="15" xfId="3" applyFont="1" applyFill="1" applyBorder="1" applyAlignment="1">
      <alignment horizontal="center" vertical="center" wrapText="1"/>
    </xf>
    <xf numFmtId="41" fontId="60" fillId="3" borderId="0" xfId="6" applyFont="1" applyFill="1" applyBorder="1" applyAlignment="1">
      <alignment vertical="center"/>
    </xf>
    <xf numFmtId="41" fontId="55" fillId="3" borderId="111" xfId="6" applyFont="1" applyFill="1" applyBorder="1" applyAlignment="1">
      <alignment vertical="center"/>
    </xf>
    <xf numFmtId="43" fontId="48" fillId="3" borderId="9" xfId="0" applyNumberFormat="1" applyFont="1" applyFill="1" applyBorder="1" applyAlignment="1">
      <alignment vertical="center"/>
    </xf>
    <xf numFmtId="41" fontId="46" fillId="3" borderId="112" xfId="6" applyFont="1" applyFill="1" applyBorder="1" applyAlignment="1">
      <alignment vertical="center" wrapText="1"/>
    </xf>
    <xf numFmtId="41" fontId="46" fillId="3" borderId="0" xfId="6" applyFont="1" applyFill="1"/>
    <xf numFmtId="43" fontId="44" fillId="3" borderId="0" xfId="0" applyNumberFormat="1" applyFont="1" applyFill="1" applyBorder="1" applyAlignment="1">
      <alignment vertical="top" wrapText="1"/>
    </xf>
    <xf numFmtId="0" fontId="44" fillId="3" borderId="17" xfId="0" applyFont="1" applyFill="1" applyBorder="1" applyAlignment="1">
      <alignment horizontal="right" vertical="top" wrapText="1"/>
    </xf>
    <xf numFmtId="0" fontId="44" fillId="3" borderId="18" xfId="0" applyFont="1" applyFill="1" applyBorder="1" applyAlignment="1">
      <alignment horizontal="right" vertical="top" wrapText="1"/>
    </xf>
    <xf numFmtId="0" fontId="44" fillId="3" borderId="28" xfId="0" applyFont="1" applyFill="1" applyBorder="1" applyAlignment="1">
      <alignment horizontal="center" vertical="top"/>
    </xf>
    <xf numFmtId="0" fontId="44" fillId="3" borderId="121" xfId="0" applyFont="1" applyFill="1" applyBorder="1" applyAlignment="1">
      <alignment horizontal="left" vertical="center" wrapText="1"/>
    </xf>
    <xf numFmtId="0" fontId="44" fillId="3" borderId="29" xfId="0" applyFont="1" applyFill="1" applyBorder="1" applyAlignment="1">
      <alignment horizontal="center" vertical="top" wrapText="1"/>
    </xf>
    <xf numFmtId="41" fontId="44" fillId="3" borderId="29" xfId="6" applyFont="1" applyFill="1" applyBorder="1" applyAlignment="1">
      <alignment vertical="top" wrapText="1"/>
    </xf>
    <xf numFmtId="0" fontId="44" fillId="3" borderId="121" xfId="0" applyFont="1" applyFill="1" applyBorder="1" applyAlignment="1">
      <alignment vertical="top" wrapText="1"/>
    </xf>
    <xf numFmtId="41" fontId="44" fillId="3" borderId="29" xfId="6" applyFont="1" applyFill="1" applyBorder="1" applyAlignment="1">
      <alignment horizontal="center" vertical="top" wrapText="1"/>
    </xf>
    <xf numFmtId="43" fontId="44" fillId="3" borderId="24" xfId="3" applyFont="1" applyFill="1" applyBorder="1" applyAlignment="1">
      <alignment horizontal="center" vertical="top"/>
    </xf>
    <xf numFmtId="14" fontId="44" fillId="3" borderId="24" xfId="0" applyNumberFormat="1" applyFont="1" applyFill="1" applyBorder="1" applyAlignment="1">
      <alignment horizontal="center" vertical="top"/>
    </xf>
    <xf numFmtId="0" fontId="44" fillId="3" borderId="61" xfId="0" applyFont="1" applyFill="1" applyBorder="1" applyAlignment="1">
      <alignment horizontal="center" vertical="top"/>
    </xf>
    <xf numFmtId="0" fontId="44" fillId="3" borderId="122" xfId="0" applyFont="1" applyFill="1" applyBorder="1" applyAlignment="1">
      <alignment horizontal="left" vertical="center" wrapText="1"/>
    </xf>
    <xf numFmtId="0" fontId="44" fillId="3" borderId="62" xfId="0" applyFont="1" applyFill="1" applyBorder="1" applyAlignment="1">
      <alignment horizontal="center" vertical="top" wrapText="1"/>
    </xf>
    <xf numFmtId="41" fontId="44" fillId="3" borderId="62" xfId="6" applyFont="1" applyFill="1" applyBorder="1" applyAlignment="1">
      <alignment vertical="top" wrapText="1"/>
    </xf>
    <xf numFmtId="0" fontId="44" fillId="3" borderId="122" xfId="0" applyFont="1" applyFill="1" applyBorder="1" applyAlignment="1">
      <alignment vertical="top" wrapText="1"/>
    </xf>
    <xf numFmtId="41" fontId="44" fillId="3" borderId="62" xfId="6" applyFont="1" applyFill="1" applyBorder="1" applyAlignment="1">
      <alignment horizontal="center" vertical="top" wrapText="1"/>
    </xf>
    <xf numFmtId="43" fontId="44" fillId="3" borderId="12" xfId="3" applyFont="1" applyFill="1" applyBorder="1" applyAlignment="1">
      <alignment horizontal="center" vertical="top"/>
    </xf>
    <xf numFmtId="14" fontId="44" fillId="3" borderId="12" xfId="0" applyNumberFormat="1" applyFont="1" applyFill="1" applyBorder="1" applyAlignment="1">
      <alignment horizontal="center" vertical="top"/>
    </xf>
    <xf numFmtId="0" fontId="44" fillId="3" borderId="26" xfId="0" applyFont="1" applyFill="1" applyBorder="1" applyAlignment="1">
      <alignment horizontal="center" vertical="top"/>
    </xf>
    <xf numFmtId="41" fontId="44" fillId="3" borderId="10" xfId="6" applyFont="1" applyFill="1" applyBorder="1" applyAlignment="1">
      <alignment horizontal="center" vertical="top" wrapText="1"/>
    </xf>
    <xf numFmtId="0" fontId="44" fillId="3" borderId="5" xfId="0" applyFont="1" applyFill="1" applyBorder="1" applyAlignment="1">
      <alignment horizontal="center" vertical="top"/>
    </xf>
    <xf numFmtId="41" fontId="44" fillId="3" borderId="5" xfId="6" applyFont="1" applyFill="1" applyBorder="1" applyAlignment="1">
      <alignment horizontal="right" vertical="top" wrapText="1"/>
    </xf>
    <xf numFmtId="0" fontId="44" fillId="3" borderId="54" xfId="0" applyFont="1" applyFill="1" applyBorder="1" applyAlignment="1">
      <alignment vertical="top" wrapText="1"/>
    </xf>
    <xf numFmtId="0" fontId="44" fillId="3" borderId="10" xfId="0" applyFont="1" applyFill="1" applyBorder="1" applyAlignment="1">
      <alignment horizontal="left" vertical="top" wrapText="1"/>
    </xf>
    <xf numFmtId="0" fontId="44" fillId="3" borderId="10" xfId="0" applyFont="1" applyFill="1" applyBorder="1" applyAlignment="1">
      <alignment horizontal="center" vertical="top"/>
    </xf>
    <xf numFmtId="41" fontId="44" fillId="3" borderId="10" xfId="6" applyFont="1" applyFill="1" applyBorder="1" applyAlignment="1">
      <alignment vertical="top" wrapText="1"/>
    </xf>
    <xf numFmtId="0" fontId="44" fillId="3" borderId="53" xfId="0" applyFont="1" applyFill="1" applyBorder="1" applyAlignment="1">
      <alignment vertical="top" wrapText="1"/>
    </xf>
    <xf numFmtId="0" fontId="44" fillId="3" borderId="6" xfId="0" applyFont="1" applyFill="1" applyBorder="1" applyAlignment="1">
      <alignment horizontal="center" vertical="top"/>
    </xf>
    <xf numFmtId="15" fontId="44" fillId="3" borderId="10" xfId="0" applyNumberFormat="1" applyFont="1" applyFill="1" applyBorder="1" applyAlignment="1">
      <alignment horizontal="center" vertical="top" wrapText="1"/>
    </xf>
    <xf numFmtId="0" fontId="44" fillId="3" borderId="55" xfId="0" applyFont="1" applyFill="1" applyBorder="1" applyAlignment="1">
      <alignment vertical="top" wrapText="1"/>
    </xf>
    <xf numFmtId="41" fontId="44" fillId="3" borderId="5" xfId="6" applyFont="1" applyFill="1" applyBorder="1" applyAlignment="1">
      <alignment vertical="top" wrapText="1"/>
    </xf>
    <xf numFmtId="0" fontId="44" fillId="3" borderId="109" xfId="0" applyFont="1" applyFill="1" applyBorder="1" applyAlignment="1">
      <alignment vertical="top" wrapText="1"/>
    </xf>
    <xf numFmtId="0" fontId="44" fillId="3" borderId="56" xfId="0" applyFont="1" applyFill="1" applyBorder="1" applyAlignment="1">
      <alignment vertical="top" wrapText="1"/>
    </xf>
    <xf numFmtId="0" fontId="44" fillId="3" borderId="123" xfId="0" applyFont="1" applyFill="1" applyBorder="1" applyAlignment="1">
      <alignment vertical="top" wrapText="1"/>
    </xf>
    <xf numFmtId="0" fontId="44" fillId="3" borderId="29" xfId="0" applyFont="1" applyFill="1" applyBorder="1" applyAlignment="1">
      <alignment horizontal="center" vertical="top"/>
    </xf>
    <xf numFmtId="41" fontId="44" fillId="3" borderId="24" xfId="6" applyFont="1" applyFill="1" applyBorder="1" applyAlignment="1">
      <alignment vertical="top" wrapText="1"/>
    </xf>
    <xf numFmtId="15" fontId="44" fillId="3" borderId="24" xfId="0" applyNumberFormat="1" applyFont="1" applyFill="1" applyBorder="1" applyAlignment="1">
      <alignment horizontal="center" vertical="top" wrapText="1"/>
    </xf>
    <xf numFmtId="0" fontId="44" fillId="3" borderId="104" xfId="0" applyFont="1" applyFill="1" applyBorder="1" applyAlignment="1">
      <alignment vertical="top" wrapText="1"/>
    </xf>
    <xf numFmtId="0" fontId="44" fillId="3" borderId="62" xfId="0" applyFont="1" applyFill="1" applyBorder="1" applyAlignment="1">
      <alignment horizontal="center" vertical="top"/>
    </xf>
    <xf numFmtId="41" fontId="44" fillId="3" borderId="12" xfId="6" applyFont="1" applyFill="1" applyBorder="1" applyAlignment="1">
      <alignment vertical="top" wrapText="1"/>
    </xf>
    <xf numFmtId="15" fontId="44" fillId="3" borderId="12" xfId="0" applyNumberFormat="1" applyFont="1" applyFill="1" applyBorder="1" applyAlignment="1">
      <alignment horizontal="center" vertical="top" wrapText="1"/>
    </xf>
    <xf numFmtId="0" fontId="44" fillId="3" borderId="109" xfId="0" applyFont="1" applyFill="1" applyBorder="1" applyAlignment="1">
      <alignment vertical="top"/>
    </xf>
    <xf numFmtId="41" fontId="44" fillId="3" borderId="109" xfId="6" applyFont="1" applyFill="1" applyBorder="1" applyAlignment="1">
      <alignment vertical="top"/>
    </xf>
    <xf numFmtId="0" fontId="44" fillId="5" borderId="11" xfId="0" applyFont="1" applyFill="1" applyBorder="1" applyAlignment="1">
      <alignment horizontal="center" vertical="center"/>
    </xf>
    <xf numFmtId="0" fontId="44" fillId="5" borderId="113" xfId="0" applyFont="1" applyFill="1" applyBorder="1" applyAlignment="1">
      <alignment horizontal="left" vertical="top" wrapText="1"/>
    </xf>
    <xf numFmtId="0" fontId="44" fillId="5" borderId="12" xfId="0" applyFont="1" applyFill="1" applyBorder="1" applyAlignment="1">
      <alignment horizontal="center" vertical="top" wrapText="1"/>
    </xf>
    <xf numFmtId="41" fontId="44" fillId="5" borderId="12" xfId="6" applyFont="1" applyFill="1" applyBorder="1" applyAlignment="1">
      <alignment horizontal="left" vertical="top"/>
    </xf>
    <xf numFmtId="0" fontId="44" fillId="3" borderId="1" xfId="0" applyFont="1" applyFill="1" applyBorder="1" applyAlignment="1">
      <alignment horizontal="left" vertical="top" wrapText="1"/>
    </xf>
    <xf numFmtId="0" fontId="44" fillId="3" borderId="1" xfId="0" applyFont="1" applyFill="1" applyBorder="1" applyAlignment="1">
      <alignment horizontal="center" vertical="top"/>
    </xf>
    <xf numFmtId="41" fontId="44" fillId="3" borderId="1" xfId="6" applyFont="1" applyFill="1" applyBorder="1" applyAlignment="1">
      <alignment horizontal="left" vertical="top"/>
    </xf>
    <xf numFmtId="41" fontId="44" fillId="3" borderId="1" xfId="6" applyFont="1" applyFill="1" applyBorder="1" applyAlignment="1">
      <alignment horizontal="center" vertical="top"/>
    </xf>
    <xf numFmtId="0" fontId="44" fillId="3" borderId="4" xfId="0" applyFont="1" applyFill="1" applyBorder="1" applyAlignment="1">
      <alignment vertical="top"/>
    </xf>
    <xf numFmtId="41" fontId="44" fillId="3" borderId="4" xfId="6" applyFont="1" applyFill="1" applyBorder="1" applyAlignment="1">
      <alignment vertical="top"/>
    </xf>
    <xf numFmtId="0" fontId="44" fillId="5" borderId="4" xfId="0" applyFont="1" applyFill="1" applyBorder="1" applyAlignment="1">
      <alignment horizontal="left" vertical="top" wrapText="1"/>
    </xf>
    <xf numFmtId="0" fontId="44" fillId="5" borderId="10" xfId="0" applyFont="1" applyFill="1" applyBorder="1" applyAlignment="1">
      <alignment horizontal="center" vertical="top" wrapText="1"/>
    </xf>
    <xf numFmtId="41" fontId="44" fillId="5" borderId="1" xfId="6" applyFont="1" applyFill="1" applyBorder="1" applyAlignment="1">
      <alignment horizontal="left" vertical="top"/>
    </xf>
    <xf numFmtId="0" fontId="44" fillId="3" borderId="1" xfId="0" applyFont="1" applyFill="1" applyBorder="1" applyAlignment="1">
      <alignment vertical="top" wrapText="1"/>
    </xf>
    <xf numFmtId="41" fontId="44" fillId="3" borderId="5" xfId="6" applyFont="1" applyFill="1" applyBorder="1" applyAlignment="1">
      <alignment horizontal="left" vertical="top"/>
    </xf>
    <xf numFmtId="0" fontId="44" fillId="3" borderId="5" xfId="0" applyFont="1" applyFill="1" applyBorder="1" applyAlignment="1">
      <alignment vertical="top" wrapText="1"/>
    </xf>
    <xf numFmtId="41" fontId="44" fillId="3" borderId="5" xfId="6" applyFont="1" applyFill="1" applyBorder="1" applyAlignment="1">
      <alignment horizontal="center" vertical="top"/>
    </xf>
    <xf numFmtId="43" fontId="46" fillId="3" borderId="5" xfId="3" applyFont="1" applyFill="1" applyBorder="1" applyAlignment="1">
      <alignment horizontal="center" vertical="top"/>
    </xf>
    <xf numFmtId="14" fontId="44" fillId="3" borderId="5" xfId="0" applyNumberFormat="1" applyFont="1" applyFill="1" applyBorder="1" applyAlignment="1">
      <alignment horizontal="center" vertical="top"/>
    </xf>
    <xf numFmtId="0" fontId="44" fillId="3" borderId="19" xfId="0" applyFont="1" applyFill="1" applyBorder="1" applyAlignment="1">
      <alignment vertical="top"/>
    </xf>
    <xf numFmtId="0" fontId="44" fillId="3" borderId="10" xfId="0" applyFont="1" applyFill="1" applyBorder="1" applyAlignment="1">
      <alignment vertical="top"/>
    </xf>
    <xf numFmtId="41" fontId="44" fillId="3" borderId="10" xfId="6" applyFont="1" applyFill="1" applyBorder="1" applyAlignment="1">
      <alignment vertical="top"/>
    </xf>
    <xf numFmtId="41" fontId="44" fillId="3" borderId="27" xfId="6" applyFont="1" applyFill="1" applyBorder="1" applyAlignment="1">
      <alignment vertical="top"/>
    </xf>
    <xf numFmtId="0" fontId="44" fillId="3" borderId="63" xfId="0" applyFont="1" applyFill="1" applyBorder="1" applyAlignment="1">
      <alignment horizontal="center" vertical="top"/>
    </xf>
    <xf numFmtId="0" fontId="44" fillId="3" borderId="23" xfId="0" applyFont="1" applyFill="1" applyBorder="1" applyAlignment="1">
      <alignment vertical="top"/>
    </xf>
    <xf numFmtId="41" fontId="44" fillId="3" borderId="23" xfId="6" applyFont="1" applyFill="1" applyBorder="1" applyAlignment="1">
      <alignment vertical="top"/>
    </xf>
    <xf numFmtId="43" fontId="46" fillId="3" borderId="1" xfId="3" applyFont="1" applyFill="1" applyBorder="1" applyAlignment="1">
      <alignment horizontal="center" vertical="top"/>
    </xf>
    <xf numFmtId="0" fontId="44" fillId="3" borderId="4" xfId="0" applyFont="1" applyFill="1" applyBorder="1" applyAlignment="1">
      <alignment horizontal="left" vertical="top" wrapText="1"/>
    </xf>
    <xf numFmtId="41" fontId="44" fillId="3" borderId="10" xfId="6" applyFont="1" applyFill="1" applyBorder="1" applyAlignment="1">
      <alignment horizontal="left" vertical="top"/>
    </xf>
    <xf numFmtId="14" fontId="44" fillId="3" borderId="10" xfId="0" applyNumberFormat="1" applyFont="1" applyFill="1" applyBorder="1" applyAlignment="1">
      <alignment horizontal="center" vertical="top"/>
    </xf>
    <xf numFmtId="49" fontId="44" fillId="3" borderId="1" xfId="3" applyNumberFormat="1" applyFont="1" applyFill="1" applyBorder="1" applyAlignment="1">
      <alignment horizontal="center" vertical="top"/>
    </xf>
    <xf numFmtId="0" fontId="44" fillId="3" borderId="2" xfId="0" applyFont="1" applyFill="1" applyBorder="1" applyAlignment="1">
      <alignment horizontal="left" vertical="top" wrapText="1"/>
    </xf>
    <xf numFmtId="0" fontId="44" fillId="3" borderId="55" xfId="0" applyFont="1" applyFill="1" applyBorder="1" applyAlignment="1">
      <alignment horizontal="left" vertical="top" wrapText="1"/>
    </xf>
    <xf numFmtId="0" fontId="44" fillId="3" borderId="10" xfId="0" applyFont="1" applyFill="1" applyBorder="1" applyAlignment="1">
      <alignment horizontal="center" vertical="top" wrapText="1"/>
    </xf>
    <xf numFmtId="43" fontId="46" fillId="3" borderId="10" xfId="3" applyFont="1" applyFill="1" applyBorder="1" applyAlignment="1">
      <alignment horizontal="center" vertical="top"/>
    </xf>
    <xf numFmtId="41" fontId="44" fillId="3" borderId="6" xfId="6" applyFont="1" applyFill="1" applyBorder="1" applyAlignment="1">
      <alignment horizontal="left" vertical="top"/>
    </xf>
    <xf numFmtId="14" fontId="44" fillId="3" borderId="6" xfId="0" applyNumberFormat="1" applyFont="1" applyFill="1" applyBorder="1" applyAlignment="1">
      <alignment horizontal="center" vertical="top"/>
    </xf>
    <xf numFmtId="0" fontId="44" fillId="3" borderId="30" xfId="0" applyFont="1" applyFill="1" applyBorder="1" applyAlignment="1">
      <alignment horizontal="right" vertical="top" wrapText="1"/>
    </xf>
    <xf numFmtId="0" fontId="44" fillId="3" borderId="81" xfId="0" applyFont="1" applyFill="1" applyBorder="1" applyAlignment="1">
      <alignment horizontal="right" vertical="top" wrapText="1"/>
    </xf>
    <xf numFmtId="0" fontId="44" fillId="3" borderId="20" xfId="0" applyFont="1" applyFill="1" applyBorder="1" applyAlignment="1">
      <alignment horizontal="right" vertical="top" wrapText="1"/>
    </xf>
    <xf numFmtId="43" fontId="44" fillId="3" borderId="54" xfId="0" applyNumberFormat="1" applyFont="1" applyFill="1" applyBorder="1" applyAlignment="1">
      <alignment vertical="top" wrapText="1"/>
    </xf>
    <xf numFmtId="0" fontId="44" fillId="3" borderId="20" xfId="0" applyFont="1" applyFill="1" applyBorder="1" applyAlignment="1">
      <alignment horizontal="left" vertical="top" wrapText="1"/>
    </xf>
    <xf numFmtId="43" fontId="44" fillId="3" borderId="56" xfId="0" applyNumberFormat="1" applyFont="1" applyFill="1" applyBorder="1" applyAlignment="1">
      <alignment vertical="top" wrapText="1"/>
    </xf>
    <xf numFmtId="0" fontId="44" fillId="3" borderId="18" xfId="0" applyFont="1" applyFill="1" applyBorder="1" applyAlignment="1">
      <alignment horizontal="left" vertical="top" wrapText="1"/>
    </xf>
    <xf numFmtId="0" fontId="44" fillId="3" borderId="30" xfId="0" applyFont="1" applyFill="1" applyBorder="1" applyAlignment="1">
      <alignment horizontal="left" vertical="top" wrapText="1"/>
    </xf>
    <xf numFmtId="0" fontId="44" fillId="3" borderId="81" xfId="0" applyFont="1" applyFill="1" applyBorder="1" applyAlignment="1">
      <alignment horizontal="left" vertical="top" wrapText="1"/>
    </xf>
    <xf numFmtId="41" fontId="44" fillId="5" borderId="13" xfId="6" applyFont="1" applyFill="1" applyBorder="1" applyAlignment="1">
      <alignment vertical="center" wrapText="1"/>
    </xf>
    <xf numFmtId="43" fontId="44" fillId="3" borderId="1" xfId="0" applyNumberFormat="1" applyFont="1" applyFill="1" applyBorder="1" applyAlignment="1">
      <alignment vertical="top" wrapText="1"/>
    </xf>
    <xf numFmtId="43" fontId="44" fillId="3" borderId="5" xfId="0" applyNumberFormat="1" applyFont="1" applyFill="1" applyBorder="1" applyAlignment="1">
      <alignment vertical="top" wrapText="1"/>
    </xf>
    <xf numFmtId="41" fontId="46" fillId="3" borderId="10" xfId="6" applyFont="1" applyFill="1" applyBorder="1" applyAlignment="1">
      <alignment vertical="top"/>
    </xf>
    <xf numFmtId="0" fontId="44" fillId="3" borderId="20" xfId="0" applyFont="1" applyFill="1" applyBorder="1" applyAlignment="1">
      <alignment vertical="top"/>
    </xf>
    <xf numFmtId="41" fontId="46" fillId="3" borderId="23" xfId="6" applyFont="1" applyFill="1" applyBorder="1" applyAlignment="1">
      <alignment vertical="top"/>
    </xf>
    <xf numFmtId="0" fontId="44" fillId="3" borderId="114" xfId="0" applyFont="1" applyFill="1" applyBorder="1" applyAlignment="1">
      <alignment vertical="top"/>
    </xf>
    <xf numFmtId="41" fontId="56" fillId="5" borderId="13" xfId="6" applyFont="1" applyFill="1" applyBorder="1" applyAlignment="1">
      <alignment vertical="center" wrapText="1"/>
    </xf>
    <xf numFmtId="0" fontId="44" fillId="3" borderId="20" xfId="0" applyFont="1" applyFill="1" applyBorder="1" applyAlignment="1">
      <alignment horizontal="right" vertical="top"/>
    </xf>
    <xf numFmtId="41" fontId="44" fillId="3" borderId="17" xfId="6" applyFont="1" applyFill="1" applyBorder="1" applyAlignment="1">
      <alignment horizontal="right" vertical="top"/>
    </xf>
    <xf numFmtId="41" fontId="44" fillId="3" borderId="20" xfId="6" applyFont="1" applyFill="1" applyBorder="1" applyAlignment="1">
      <alignment horizontal="left" vertical="top"/>
    </xf>
    <xf numFmtId="0" fontId="44" fillId="3" borderId="15" xfId="0" applyFont="1" applyFill="1" applyBorder="1" applyAlignment="1">
      <alignment horizontal="right" vertical="top"/>
    </xf>
    <xf numFmtId="41" fontId="44" fillId="3" borderId="18" xfId="6" applyFont="1" applyFill="1" applyBorder="1" applyAlignment="1">
      <alignment horizontal="left" vertical="top"/>
    </xf>
    <xf numFmtId="0" fontId="44" fillId="3" borderId="6" xfId="0" applyFont="1" applyFill="1" applyBorder="1" applyAlignment="1">
      <alignment vertical="top" wrapText="1"/>
    </xf>
    <xf numFmtId="0" fontId="44" fillId="3" borderId="0" xfId="0" applyFont="1" applyFill="1" applyBorder="1" applyAlignment="1">
      <alignment horizontal="center" vertical="center"/>
    </xf>
    <xf numFmtId="0" fontId="44" fillId="3" borderId="0" xfId="0" applyFont="1" applyFill="1" applyBorder="1" applyAlignment="1">
      <alignment horizontal="center" vertical="top" wrapText="1"/>
    </xf>
    <xf numFmtId="41" fontId="44" fillId="3" borderId="0" xfId="6" applyFont="1" applyFill="1" applyBorder="1" applyAlignment="1">
      <alignment horizontal="left" vertical="top"/>
    </xf>
    <xf numFmtId="14" fontId="44" fillId="3" borderId="0" xfId="0" applyNumberFormat="1" applyFont="1" applyFill="1" applyBorder="1" applyAlignment="1">
      <alignment horizontal="center" vertical="top"/>
    </xf>
    <xf numFmtId="0" fontId="44" fillId="5" borderId="1" xfId="0" applyFont="1" applyFill="1" applyBorder="1" applyAlignment="1">
      <alignment horizontal="center" vertical="top" wrapText="1"/>
    </xf>
    <xf numFmtId="41" fontId="44" fillId="3" borderId="108" xfId="6" applyFont="1" applyFill="1" applyBorder="1" applyAlignment="1">
      <alignment vertical="top" wrapText="1"/>
    </xf>
    <xf numFmtId="0" fontId="44" fillId="3" borderId="14" xfId="0" applyFont="1" applyFill="1" applyBorder="1" applyAlignment="1">
      <alignment vertical="top"/>
    </xf>
    <xf numFmtId="0" fontId="44" fillId="3" borderId="6" xfId="0" applyFont="1" applyFill="1" applyBorder="1" applyAlignment="1">
      <alignment vertical="top"/>
    </xf>
    <xf numFmtId="41" fontId="44" fillId="3" borderId="6" xfId="6" applyFont="1" applyFill="1" applyBorder="1" applyAlignment="1">
      <alignment horizontal="center" vertical="top"/>
    </xf>
    <xf numFmtId="41" fontId="44" fillId="3" borderId="10" xfId="6" applyFont="1" applyFill="1" applyBorder="1" applyAlignment="1">
      <alignment horizontal="center" vertical="top"/>
    </xf>
    <xf numFmtId="0" fontId="44" fillId="5" borderId="63" xfId="0" applyFont="1" applyFill="1" applyBorder="1" applyAlignment="1">
      <alignment horizontal="center" vertical="center"/>
    </xf>
    <xf numFmtId="0" fontId="44" fillId="5" borderId="23" xfId="0" applyFont="1" applyFill="1" applyBorder="1" applyAlignment="1">
      <alignment horizontal="left" vertical="top" wrapText="1"/>
    </xf>
    <xf numFmtId="0" fontId="44" fillId="5" borderId="24" xfId="0" applyFont="1" applyFill="1" applyBorder="1" applyAlignment="1">
      <alignment horizontal="center" vertical="top" wrapText="1"/>
    </xf>
    <xf numFmtId="41" fontId="44" fillId="5" borderId="24" xfId="6" applyFont="1" applyFill="1" applyBorder="1" applyAlignment="1">
      <alignment horizontal="left" vertical="top"/>
    </xf>
    <xf numFmtId="0" fontId="44" fillId="3" borderId="124" xfId="0" applyFont="1" applyFill="1" applyBorder="1" applyAlignment="1">
      <alignment horizontal="left" wrapText="1"/>
    </xf>
    <xf numFmtId="0" fontId="44" fillId="3" borderId="12" xfId="0" applyFont="1" applyFill="1" applyBorder="1" applyAlignment="1">
      <alignment horizontal="center" vertical="top" wrapText="1"/>
    </xf>
    <xf numFmtId="41" fontId="44" fillId="3" borderId="12" xfId="6" applyFont="1" applyFill="1" applyBorder="1" applyAlignment="1">
      <alignment horizontal="left" vertical="top"/>
    </xf>
    <xf numFmtId="0" fontId="44" fillId="3" borderId="56" xfId="0" applyFont="1" applyFill="1" applyBorder="1" applyAlignment="1">
      <alignment horizontal="left" wrapText="1"/>
    </xf>
    <xf numFmtId="41" fontId="44" fillId="3" borderId="1" xfId="6" applyFont="1" applyFill="1" applyBorder="1" applyAlignment="1">
      <alignment horizontal="left" vertical="top" wrapText="1"/>
    </xf>
    <xf numFmtId="0" fontId="44" fillId="3" borderId="56" xfId="0" applyFont="1" applyFill="1" applyBorder="1" applyAlignment="1">
      <alignment horizontal="left" vertical="top" wrapText="1"/>
    </xf>
    <xf numFmtId="43" fontId="46" fillId="3" borderId="6" xfId="3" applyFont="1" applyFill="1" applyBorder="1" applyAlignment="1">
      <alignment horizontal="center" vertical="top"/>
    </xf>
    <xf numFmtId="0" fontId="44" fillId="3" borderId="1" xfId="0" applyFont="1" applyFill="1" applyBorder="1" applyAlignment="1">
      <alignment vertical="top"/>
    </xf>
    <xf numFmtId="41" fontId="44" fillId="3" borderId="1" xfId="6" applyFont="1" applyFill="1" applyBorder="1" applyAlignment="1">
      <alignment vertical="top"/>
    </xf>
    <xf numFmtId="41" fontId="44" fillId="3" borderId="1" xfId="6" applyFont="1" applyFill="1" applyBorder="1" applyAlignment="1">
      <alignment horizontal="right" vertical="top"/>
    </xf>
    <xf numFmtId="15" fontId="44" fillId="3" borderId="1" xfId="6" applyNumberFormat="1" applyFont="1" applyFill="1" applyBorder="1" applyAlignment="1">
      <alignment horizontal="center" vertical="top"/>
    </xf>
    <xf numFmtId="41" fontId="44" fillId="3" borderId="0" xfId="6" applyFont="1" applyFill="1" applyBorder="1" applyAlignment="1">
      <alignment horizontal="right" vertical="top"/>
    </xf>
    <xf numFmtId="15" fontId="44" fillId="3" borderId="0" xfId="6" applyNumberFormat="1" applyFont="1" applyFill="1" applyBorder="1" applyAlignment="1">
      <alignment horizontal="center" vertical="top"/>
    </xf>
    <xf numFmtId="0" fontId="44" fillId="3" borderId="0" xfId="0" applyFont="1" applyFill="1" applyBorder="1" applyAlignment="1">
      <alignment horizontal="center" vertical="top"/>
    </xf>
    <xf numFmtId="0" fontId="44" fillId="5" borderId="105" xfId="0" applyFont="1" applyFill="1" applyBorder="1" applyAlignment="1">
      <alignment horizontal="center" vertical="top"/>
    </xf>
    <xf numFmtId="41" fontId="44" fillId="5" borderId="1" xfId="6" applyFont="1" applyFill="1" applyBorder="1" applyAlignment="1">
      <alignment vertical="top"/>
    </xf>
    <xf numFmtId="0" fontId="44" fillId="3" borderId="53" xfId="0" applyFont="1" applyFill="1" applyBorder="1" applyAlignment="1">
      <alignment horizontal="left" vertical="top" wrapText="1"/>
    </xf>
    <xf numFmtId="0" fontId="44" fillId="5" borderId="11" xfId="0" applyFont="1" applyFill="1" applyBorder="1" applyAlignment="1">
      <alignment horizontal="center" vertical="top"/>
    </xf>
    <xf numFmtId="41" fontId="44" fillId="5" borderId="12" xfId="6" applyFont="1" applyFill="1" applyBorder="1" applyAlignment="1">
      <alignment vertical="top"/>
    </xf>
    <xf numFmtId="0" fontId="44" fillId="3" borderId="5" xfId="0" applyFont="1" applyFill="1" applyBorder="1" applyAlignment="1">
      <alignment horizontal="center" vertical="top" wrapText="1"/>
    </xf>
    <xf numFmtId="41" fontId="44" fillId="3" borderId="5" xfId="6" applyFont="1" applyFill="1" applyBorder="1" applyAlignment="1">
      <alignment vertical="top"/>
    </xf>
    <xf numFmtId="0" fontId="44" fillId="3" borderId="54" xfId="0" applyFont="1" applyFill="1" applyBorder="1" applyAlignment="1">
      <alignment horizontal="left" vertical="top" wrapText="1"/>
    </xf>
    <xf numFmtId="41" fontId="44" fillId="3" borderId="6" xfId="6" applyFont="1" applyFill="1" applyBorder="1" applyAlignment="1">
      <alignment vertical="top"/>
    </xf>
    <xf numFmtId="41" fontId="44" fillId="5" borderId="10" xfId="6" applyFont="1" applyFill="1" applyBorder="1" applyAlignment="1">
      <alignment vertical="top"/>
    </xf>
    <xf numFmtId="41" fontId="56" fillId="5" borderId="15" xfId="6" applyFont="1" applyFill="1" applyBorder="1" applyAlignment="1">
      <alignment vertical="top" wrapText="1"/>
    </xf>
    <xf numFmtId="41" fontId="44" fillId="3" borderId="15" xfId="6" applyFont="1" applyFill="1" applyBorder="1" applyAlignment="1">
      <alignment horizontal="left" vertical="top" wrapText="1"/>
    </xf>
    <xf numFmtId="43" fontId="44" fillId="3" borderId="17" xfId="0" applyNumberFormat="1" applyFont="1" applyFill="1" applyBorder="1" applyAlignment="1">
      <alignment vertical="top" wrapText="1"/>
    </xf>
    <xf numFmtId="0" fontId="44" fillId="3" borderId="18" xfId="0" applyFont="1" applyFill="1" applyBorder="1" applyAlignment="1">
      <alignment horizontal="center" vertical="top"/>
    </xf>
    <xf numFmtId="41" fontId="46" fillId="3" borderId="10" xfId="6" applyFont="1" applyFill="1" applyBorder="1" applyAlignment="1">
      <alignment horizontal="center" vertical="top"/>
    </xf>
    <xf numFmtId="41" fontId="46" fillId="3" borderId="20" xfId="6" applyFont="1" applyFill="1" applyBorder="1" applyAlignment="1">
      <alignment horizontal="center" vertical="top"/>
    </xf>
    <xf numFmtId="41" fontId="56" fillId="5" borderId="25" xfId="6" applyFont="1" applyFill="1" applyBorder="1" applyAlignment="1">
      <alignment vertical="top" wrapText="1"/>
    </xf>
    <xf numFmtId="41" fontId="44" fillId="3" borderId="13" xfId="6" applyFont="1" applyFill="1" applyBorder="1" applyAlignment="1">
      <alignment horizontal="right" vertical="top"/>
    </xf>
    <xf numFmtId="41" fontId="44" fillId="3" borderId="15" xfId="6" applyFont="1" applyFill="1" applyBorder="1" applyAlignment="1">
      <alignment horizontal="right" vertical="top"/>
    </xf>
    <xf numFmtId="0" fontId="44" fillId="3" borderId="110" xfId="0" applyFont="1" applyFill="1" applyBorder="1" applyAlignment="1">
      <alignment horizontal="right" vertical="top"/>
    </xf>
    <xf numFmtId="41" fontId="46" fillId="3" borderId="109" xfId="6" applyFont="1" applyFill="1" applyBorder="1" applyAlignment="1">
      <alignment vertical="top"/>
    </xf>
    <xf numFmtId="0" fontId="44" fillId="3" borderId="120" xfId="0" applyFont="1" applyFill="1" applyBorder="1" applyAlignment="1">
      <alignment vertical="top"/>
    </xf>
    <xf numFmtId="41" fontId="44" fillId="3" borderId="20" xfId="6" applyFont="1" applyFill="1" applyBorder="1" applyAlignment="1">
      <alignment vertical="top"/>
    </xf>
    <xf numFmtId="41" fontId="44" fillId="3" borderId="111" xfId="6" applyFont="1" applyFill="1" applyBorder="1" applyAlignment="1">
      <alignment horizontal="center" vertical="center" wrapText="1"/>
    </xf>
    <xf numFmtId="41" fontId="44" fillId="3" borderId="18" xfId="6" applyFont="1" applyFill="1" applyBorder="1" applyAlignment="1">
      <alignment vertical="top"/>
    </xf>
    <xf numFmtId="0" fontId="44" fillId="3" borderId="24" xfId="0" applyFont="1" applyFill="1" applyBorder="1" applyAlignment="1">
      <alignment horizontal="center" vertical="top" wrapText="1"/>
    </xf>
    <xf numFmtId="41" fontId="44" fillId="3" borderId="24" xfId="6" applyFont="1" applyFill="1" applyBorder="1" applyAlignment="1">
      <alignment vertical="top"/>
    </xf>
    <xf numFmtId="41" fontId="44" fillId="3" borderId="12" xfId="6" applyFont="1" applyFill="1" applyBorder="1" applyAlignment="1">
      <alignment vertical="top"/>
    </xf>
    <xf numFmtId="41" fontId="44" fillId="3" borderId="29" xfId="6" applyFont="1" applyFill="1" applyBorder="1" applyAlignment="1">
      <alignment horizontal="left" vertical="top" wrapText="1"/>
    </xf>
    <xf numFmtId="41" fontId="44" fillId="3" borderId="29" xfId="6" applyFont="1" applyFill="1" applyBorder="1" applyAlignment="1">
      <alignment vertical="top"/>
    </xf>
    <xf numFmtId="14" fontId="44" fillId="3" borderId="29" xfId="0" applyNumberFormat="1" applyFont="1" applyFill="1" applyBorder="1" applyAlignment="1">
      <alignment horizontal="center" vertical="top"/>
    </xf>
    <xf numFmtId="0" fontId="44" fillId="3" borderId="11" xfId="0" applyFont="1" applyFill="1" applyBorder="1" applyAlignment="1">
      <alignment horizontal="center" vertical="top"/>
    </xf>
    <xf numFmtId="0" fontId="44" fillId="3" borderId="113" xfId="0" applyFont="1" applyFill="1" applyBorder="1" applyAlignment="1">
      <alignment vertical="top"/>
    </xf>
    <xf numFmtId="41" fontId="44" fillId="3" borderId="113" xfId="6" applyFont="1" applyFill="1" applyBorder="1" applyAlignment="1">
      <alignment vertical="top"/>
    </xf>
    <xf numFmtId="41" fontId="44" fillId="3" borderId="10" xfId="6" applyFont="1" applyFill="1" applyBorder="1" applyAlignment="1">
      <alignment horizontal="left" vertical="top" wrapText="1"/>
    </xf>
    <xf numFmtId="41" fontId="44" fillId="3" borderId="14" xfId="6" applyFont="1" applyFill="1" applyBorder="1" applyAlignment="1">
      <alignment vertical="top"/>
    </xf>
    <xf numFmtId="41" fontId="44" fillId="3" borderId="26" xfId="6" applyFont="1" applyFill="1" applyBorder="1" applyAlignment="1">
      <alignment vertical="top"/>
    </xf>
    <xf numFmtId="41" fontId="44" fillId="3" borderId="5" xfId="6" applyFont="1" applyFill="1" applyBorder="1" applyAlignment="1">
      <alignment horizontal="right" vertical="top"/>
    </xf>
    <xf numFmtId="15" fontId="44" fillId="3" borderId="5" xfId="6" applyNumberFormat="1" applyFont="1" applyFill="1" applyBorder="1" applyAlignment="1">
      <alignment horizontal="center" vertical="top"/>
    </xf>
    <xf numFmtId="41" fontId="44" fillId="3" borderId="105" xfId="6" applyFont="1" applyFill="1" applyBorder="1" applyAlignment="1">
      <alignment vertical="top"/>
    </xf>
    <xf numFmtId="41" fontId="44" fillId="3" borderId="5" xfId="6" applyFont="1" applyFill="1" applyBorder="1" applyAlignment="1">
      <alignment horizontal="left" vertical="top" wrapText="1"/>
    </xf>
    <xf numFmtId="41" fontId="44" fillId="3" borderId="6" xfId="6" applyFont="1" applyFill="1" applyBorder="1" applyAlignment="1">
      <alignment horizontal="left" vertical="top" wrapText="1"/>
    </xf>
    <xf numFmtId="41" fontId="44" fillId="3" borderId="108" xfId="6" applyFont="1" applyFill="1" applyBorder="1" applyAlignment="1">
      <alignment vertical="top"/>
    </xf>
    <xf numFmtId="0" fontId="44" fillId="3" borderId="14" xfId="0" applyFont="1" applyFill="1" applyBorder="1"/>
    <xf numFmtId="0" fontId="44" fillId="3" borderId="10" xfId="0" applyFont="1" applyFill="1" applyBorder="1"/>
    <xf numFmtId="41" fontId="44" fillId="3" borderId="10" xfId="6" applyFont="1" applyFill="1" applyBorder="1"/>
    <xf numFmtId="0" fontId="44" fillId="3" borderId="10" xfId="0" applyFont="1" applyFill="1" applyBorder="1" applyAlignment="1"/>
    <xf numFmtId="41" fontId="44" fillId="3" borderId="1" xfId="6" applyFont="1" applyFill="1" applyBorder="1"/>
    <xf numFmtId="0" fontId="44" fillId="3" borderId="108" xfId="0" applyFont="1" applyFill="1" applyBorder="1" applyAlignment="1">
      <alignment horizontal="center" vertical="top" wrapText="1"/>
    </xf>
    <xf numFmtId="0" fontId="44" fillId="3" borderId="14" xfId="0" applyFont="1" applyFill="1" applyBorder="1" applyAlignment="1">
      <alignment horizontal="center" vertical="top" wrapText="1"/>
    </xf>
    <xf numFmtId="0" fontId="44" fillId="3" borderId="122" xfId="0" applyFont="1" applyFill="1" applyBorder="1" applyAlignment="1">
      <alignment horizontal="center" vertical="top"/>
    </xf>
    <xf numFmtId="41" fontId="44" fillId="3" borderId="122" xfId="6" applyFont="1" applyFill="1" applyBorder="1" applyAlignment="1">
      <alignment vertical="top" wrapText="1"/>
    </xf>
    <xf numFmtId="0" fontId="44" fillId="3" borderId="122" xfId="0" applyFont="1" applyFill="1" applyBorder="1" applyAlignment="1">
      <alignment horizontal="center" vertical="top" wrapText="1"/>
    </xf>
    <xf numFmtId="41" fontId="44" fillId="3" borderId="122" xfId="6" applyFont="1" applyFill="1" applyBorder="1" applyAlignment="1">
      <alignment vertical="top"/>
    </xf>
    <xf numFmtId="14" fontId="44" fillId="3" borderId="122" xfId="0" applyNumberFormat="1" applyFont="1" applyFill="1" applyBorder="1" applyAlignment="1">
      <alignment horizontal="center" vertical="top"/>
    </xf>
    <xf numFmtId="41" fontId="44" fillId="3" borderId="0" xfId="6" applyFont="1" applyFill="1" applyBorder="1" applyAlignment="1">
      <alignment vertical="top" wrapText="1"/>
    </xf>
    <xf numFmtId="41" fontId="44" fillId="3" borderId="25" xfId="6" applyFont="1" applyFill="1" applyBorder="1" applyAlignment="1">
      <alignment horizontal="right" vertical="top"/>
    </xf>
    <xf numFmtId="41" fontId="46" fillId="3" borderId="4" xfId="6" applyFont="1" applyFill="1" applyBorder="1" applyAlignment="1">
      <alignment vertical="top"/>
    </xf>
    <xf numFmtId="0" fontId="44" fillId="3" borderId="110" xfId="0" applyFont="1" applyFill="1" applyBorder="1" applyAlignment="1">
      <alignment vertical="top"/>
    </xf>
    <xf numFmtId="41" fontId="44" fillId="3" borderId="18" xfId="6" applyFont="1" applyFill="1" applyBorder="1" applyAlignment="1">
      <alignment horizontal="right" vertical="top"/>
    </xf>
    <xf numFmtId="41" fontId="44" fillId="3" borderId="30" xfId="6" applyFont="1" applyFill="1" applyBorder="1" applyAlignment="1">
      <alignment horizontal="right" vertical="top"/>
    </xf>
    <xf numFmtId="41" fontId="46" fillId="3" borderId="113" xfId="6" applyFont="1" applyFill="1" applyBorder="1" applyAlignment="1">
      <alignment vertical="top"/>
    </xf>
    <xf numFmtId="0" fontId="44" fillId="3" borderId="115" xfId="0" applyFont="1" applyFill="1" applyBorder="1" applyAlignment="1">
      <alignment vertical="top"/>
    </xf>
    <xf numFmtId="41" fontId="44" fillId="3" borderId="15" xfId="6" applyFont="1" applyFill="1" applyBorder="1" applyAlignment="1">
      <alignment horizontal="left" vertical="top"/>
    </xf>
    <xf numFmtId="41" fontId="44" fillId="3" borderId="17" xfId="6" applyFont="1" applyFill="1" applyBorder="1" applyAlignment="1">
      <alignment horizontal="left" vertical="top"/>
    </xf>
    <xf numFmtId="41" fontId="44" fillId="3" borderId="15" xfId="6" applyFont="1" applyFill="1" applyBorder="1" applyAlignment="1">
      <alignment vertical="top"/>
    </xf>
    <xf numFmtId="41" fontId="46" fillId="3" borderId="5" xfId="6" applyFont="1" applyFill="1" applyBorder="1" applyAlignment="1">
      <alignment horizontal="right" vertical="top"/>
    </xf>
    <xf numFmtId="43" fontId="44" fillId="3" borderId="1" xfId="0" applyNumberFormat="1" applyFont="1" applyFill="1" applyBorder="1" applyAlignment="1">
      <alignment vertical="top"/>
    </xf>
    <xf numFmtId="0" fontId="44" fillId="3" borderId="20" xfId="0" applyFont="1" applyFill="1" applyBorder="1" applyAlignment="1"/>
    <xf numFmtId="43" fontId="44" fillId="3" borderId="5" xfId="0" applyNumberFormat="1" applyFont="1" applyFill="1" applyBorder="1" applyAlignment="1">
      <alignment vertical="top"/>
    </xf>
    <xf numFmtId="43" fontId="44" fillId="3" borderId="10" xfId="0" applyNumberFormat="1" applyFont="1" applyFill="1" applyBorder="1" applyAlignment="1">
      <alignment vertical="top"/>
    </xf>
    <xf numFmtId="41" fontId="44" fillId="3" borderId="20" xfId="6" applyFont="1" applyFill="1" applyBorder="1" applyAlignment="1">
      <alignment horizontal="right" vertical="top"/>
    </xf>
    <xf numFmtId="41" fontId="44" fillId="3" borderId="20" xfId="6" applyFont="1" applyFill="1" applyBorder="1" applyAlignment="1">
      <alignment horizontal="left" vertical="top" wrapText="1"/>
    </xf>
    <xf numFmtId="14" fontId="44" fillId="3" borderId="18" xfId="0" applyNumberFormat="1" applyFont="1" applyFill="1" applyBorder="1" applyAlignment="1">
      <alignment horizontal="left" vertical="top"/>
    </xf>
    <xf numFmtId="14" fontId="44" fillId="3" borderId="20" xfId="0" applyNumberFormat="1" applyFont="1" applyFill="1" applyBorder="1" applyAlignment="1">
      <alignment horizontal="center" vertical="top"/>
    </xf>
    <xf numFmtId="41" fontId="44" fillId="3" borderId="25" xfId="6" applyFont="1" applyFill="1" applyBorder="1" applyAlignment="1">
      <alignment horizontal="left" vertical="top"/>
    </xf>
    <xf numFmtId="41" fontId="44" fillId="3" borderId="122" xfId="6" applyFont="1" applyFill="1" applyBorder="1" applyAlignment="1">
      <alignment horizontal="left" vertical="top"/>
    </xf>
    <xf numFmtId="41" fontId="44" fillId="0" borderId="1" xfId="6" applyFont="1" applyFill="1" applyBorder="1" applyAlignment="1">
      <alignment vertical="top"/>
    </xf>
    <xf numFmtId="14" fontId="44" fillId="0" borderId="1" xfId="0" applyNumberFormat="1" applyFont="1" applyFill="1" applyBorder="1" applyAlignment="1">
      <alignment horizontal="center" vertical="top"/>
    </xf>
    <xf numFmtId="41" fontId="44" fillId="0" borderId="10" xfId="6" applyFont="1" applyFill="1" applyBorder="1" applyAlignment="1">
      <alignment vertical="top"/>
    </xf>
    <xf numFmtId="14" fontId="44" fillId="0" borderId="10" xfId="0" applyNumberFormat="1" applyFont="1" applyFill="1" applyBorder="1" applyAlignment="1">
      <alignment horizontal="center" vertical="top"/>
    </xf>
    <xf numFmtId="0" fontId="44" fillId="3" borderId="26" xfId="0" applyFont="1" applyFill="1" applyBorder="1" applyAlignment="1">
      <alignment horizontal="center" vertical="top" wrapText="1"/>
    </xf>
    <xf numFmtId="15" fontId="44" fillId="3" borderId="6" xfId="6" applyNumberFormat="1" applyFont="1" applyFill="1" applyBorder="1" applyAlignment="1">
      <alignment horizontal="center" vertical="top"/>
    </xf>
    <xf numFmtId="0" fontId="44" fillId="3" borderId="5" xfId="0" applyFont="1" applyFill="1" applyBorder="1" applyAlignment="1">
      <alignment vertical="center"/>
    </xf>
    <xf numFmtId="0" fontId="44" fillId="3" borderId="5" xfId="0" applyFont="1" applyFill="1" applyBorder="1" applyAlignment="1">
      <alignment horizontal="left" wrapText="1"/>
    </xf>
    <xf numFmtId="0" fontId="44" fillId="3" borderId="5" xfId="0" applyFont="1" applyFill="1" applyBorder="1" applyAlignment="1">
      <alignment vertical="top"/>
    </xf>
    <xf numFmtId="43" fontId="46" fillId="0" borderId="1" xfId="3" applyFont="1" applyBorder="1" applyAlignment="1">
      <alignment horizontal="center"/>
    </xf>
    <xf numFmtId="14" fontId="44" fillId="0" borderId="1" xfId="0" applyNumberFormat="1" applyFont="1" applyBorder="1" applyAlignment="1">
      <alignment horizontal="center"/>
    </xf>
    <xf numFmtId="0" fontId="44" fillId="3" borderId="6" xfId="0" applyFont="1" applyFill="1" applyBorder="1" applyAlignment="1">
      <alignment horizontal="left" wrapText="1"/>
    </xf>
    <xf numFmtId="0" fontId="44" fillId="3" borderId="14" xfId="0" applyFont="1" applyFill="1" applyBorder="1" applyAlignment="1">
      <alignment vertical="center"/>
    </xf>
    <xf numFmtId="43" fontId="46" fillId="0" borderId="6" xfId="3" applyFont="1" applyBorder="1" applyAlignment="1">
      <alignment horizontal="center"/>
    </xf>
    <xf numFmtId="14" fontId="44" fillId="0" borderId="6" xfId="0" applyNumberFormat="1" applyFont="1" applyBorder="1" applyAlignment="1">
      <alignment horizontal="center"/>
    </xf>
    <xf numFmtId="0" fontId="44" fillId="3" borderId="26" xfId="0" applyFont="1" applyFill="1" applyBorder="1" applyAlignment="1">
      <alignment vertical="center"/>
    </xf>
    <xf numFmtId="43" fontId="46" fillId="0" borderId="10" xfId="3" applyFont="1" applyBorder="1" applyAlignment="1">
      <alignment horizontal="center"/>
    </xf>
    <xf numFmtId="14" fontId="44" fillId="0" borderId="10" xfId="0" applyNumberFormat="1" applyFont="1" applyBorder="1" applyAlignment="1">
      <alignment horizontal="center"/>
    </xf>
    <xf numFmtId="0" fontId="44" fillId="3" borderId="108" xfId="0" applyFont="1" applyFill="1" applyBorder="1" applyAlignment="1">
      <alignment vertical="center"/>
    </xf>
    <xf numFmtId="41" fontId="44" fillId="3" borderId="18" xfId="6" applyFont="1" applyFill="1" applyBorder="1" applyAlignment="1">
      <alignment horizontal="right" vertical="top" wrapText="1"/>
    </xf>
    <xf numFmtId="41" fontId="44" fillId="0" borderId="5" xfId="6" applyFont="1" applyFill="1" applyBorder="1" applyAlignment="1">
      <alignment vertical="top"/>
    </xf>
    <xf numFmtId="41" fontId="44" fillId="0" borderId="15" xfId="6" applyFont="1" applyFill="1" applyBorder="1" applyAlignment="1">
      <alignment horizontal="right" vertical="top" wrapText="1"/>
    </xf>
    <xf numFmtId="41" fontId="44" fillId="0" borderId="6" xfId="6" applyFont="1" applyFill="1" applyBorder="1" applyAlignment="1">
      <alignment vertical="top"/>
    </xf>
    <xf numFmtId="41" fontId="44" fillId="0" borderId="15" xfId="6" applyFont="1" applyFill="1" applyBorder="1" applyAlignment="1">
      <alignment horizontal="left" vertical="top"/>
    </xf>
    <xf numFmtId="14" fontId="44" fillId="3" borderId="17" xfId="0" applyNumberFormat="1" applyFont="1" applyFill="1" applyBorder="1" applyAlignment="1">
      <alignment horizontal="left" vertical="top"/>
    </xf>
    <xf numFmtId="14" fontId="44" fillId="3" borderId="18" xfId="0" applyNumberFormat="1" applyFont="1" applyFill="1" applyBorder="1" applyAlignment="1">
      <alignment horizontal="center" vertical="top"/>
    </xf>
    <xf numFmtId="41" fontId="46" fillId="3" borderId="1" xfId="6" applyFont="1" applyFill="1" applyBorder="1" applyAlignment="1">
      <alignment horizontal="center" vertical="top"/>
    </xf>
    <xf numFmtId="0" fontId="44" fillId="3" borderId="17" xfId="0" applyFont="1" applyFill="1" applyBorder="1" applyAlignment="1">
      <alignment horizontal="right" vertical="top"/>
    </xf>
    <xf numFmtId="0" fontId="44" fillId="3" borderId="18" xfId="0" applyFont="1" applyFill="1" applyBorder="1" applyAlignment="1">
      <alignment vertical="top"/>
    </xf>
    <xf numFmtId="0" fontId="44" fillId="3" borderId="18" xfId="0" applyFont="1" applyFill="1" applyBorder="1" applyAlignment="1">
      <alignment vertical="center"/>
    </xf>
    <xf numFmtId="0" fontId="44" fillId="3" borderId="20" xfId="0" applyFont="1" applyFill="1" applyBorder="1" applyAlignment="1">
      <alignment vertical="center"/>
    </xf>
    <xf numFmtId="41" fontId="46" fillId="5" borderId="15" xfId="6" applyFont="1" applyFill="1" applyBorder="1" applyAlignment="1">
      <alignment vertical="center" wrapText="1"/>
    </xf>
    <xf numFmtId="41" fontId="46" fillId="5" borderId="13" xfId="6" applyFont="1" applyFill="1" applyBorder="1" applyAlignment="1">
      <alignment vertical="center" wrapText="1"/>
    </xf>
    <xf numFmtId="0" fontId="44" fillId="5" borderId="26" xfId="0" applyFont="1" applyFill="1" applyBorder="1" applyAlignment="1">
      <alignment horizontal="center" vertical="top"/>
    </xf>
    <xf numFmtId="0" fontId="44" fillId="5" borderId="55" xfId="0" applyFont="1" applyFill="1" applyBorder="1" applyAlignment="1">
      <alignment horizontal="left" vertical="top" wrapText="1"/>
    </xf>
    <xf numFmtId="14" fontId="44" fillId="5" borderId="10" xfId="6" applyNumberFormat="1" applyFont="1" applyFill="1" applyBorder="1" applyAlignment="1">
      <alignment horizontal="center" vertical="top"/>
    </xf>
    <xf numFmtId="0" fontId="44" fillId="5" borderId="108" xfId="0" applyFont="1" applyFill="1" applyBorder="1" applyAlignment="1">
      <alignment horizontal="center" vertical="top"/>
    </xf>
    <xf numFmtId="41" fontId="44" fillId="5" borderId="26" xfId="6" applyFont="1" applyFill="1" applyBorder="1" applyAlignment="1">
      <alignment vertical="top"/>
    </xf>
    <xf numFmtId="0" fontId="44" fillId="0" borderId="1" xfId="0" applyFont="1" applyBorder="1" applyAlignment="1">
      <alignment vertical="top" wrapText="1"/>
    </xf>
    <xf numFmtId="14" fontId="44" fillId="3" borderId="5" xfId="6" applyNumberFormat="1" applyFont="1" applyFill="1" applyBorder="1" applyAlignment="1">
      <alignment horizontal="center" vertical="center"/>
    </xf>
    <xf numFmtId="0" fontId="44" fillId="3" borderId="61" xfId="0" applyFont="1" applyFill="1" applyBorder="1" applyAlignment="1">
      <alignment vertical="center"/>
    </xf>
    <xf numFmtId="41" fontId="44" fillId="3" borderId="62" xfId="6" applyFont="1" applyFill="1" applyBorder="1" applyAlignment="1">
      <alignment vertical="center"/>
    </xf>
    <xf numFmtId="14" fontId="44" fillId="3" borderId="62" xfId="6" applyNumberFormat="1" applyFont="1" applyFill="1" applyBorder="1" applyAlignment="1">
      <alignment horizontal="center" vertical="center"/>
    </xf>
    <xf numFmtId="41" fontId="44" fillId="3" borderId="26" xfId="6" applyFont="1" applyFill="1" applyBorder="1" applyAlignment="1">
      <alignment vertical="center"/>
    </xf>
    <xf numFmtId="41" fontId="44" fillId="3" borderId="105" xfId="6" applyFont="1" applyFill="1" applyBorder="1" applyAlignment="1">
      <alignment horizontal="center" vertical="top"/>
    </xf>
    <xf numFmtId="14" fontId="44" fillId="3" borderId="1" xfId="6" applyNumberFormat="1" applyFont="1" applyFill="1" applyBorder="1" applyAlignment="1">
      <alignment horizontal="center" vertical="top"/>
    </xf>
    <xf numFmtId="41" fontId="44" fillId="3" borderId="105" xfId="6" applyFont="1" applyFill="1" applyBorder="1" applyAlignment="1">
      <alignment horizontal="center" vertical="center"/>
    </xf>
    <xf numFmtId="0" fontId="44" fillId="3" borderId="105" xfId="0" applyFont="1" applyFill="1" applyBorder="1" applyAlignment="1">
      <alignment horizontal="center" vertical="top" wrapText="1"/>
    </xf>
    <xf numFmtId="41" fontId="44" fillId="3" borderId="53" xfId="6" applyFont="1" applyFill="1" applyBorder="1" applyAlignment="1">
      <alignment horizontal="center" vertical="top" wrapText="1"/>
    </xf>
    <xf numFmtId="0" fontId="44" fillId="3" borderId="53" xfId="0" applyFont="1" applyFill="1" applyBorder="1" applyAlignment="1">
      <alignment horizontal="center" vertical="top" wrapText="1"/>
    </xf>
    <xf numFmtId="15" fontId="44" fillId="3" borderId="10" xfId="6" applyNumberFormat="1" applyFont="1" applyFill="1" applyBorder="1" applyAlignment="1">
      <alignment horizontal="center" vertical="top"/>
    </xf>
    <xf numFmtId="0" fontId="44" fillId="3" borderId="63" xfId="0" applyFont="1" applyFill="1" applyBorder="1" applyAlignment="1">
      <alignment vertical="center"/>
    </xf>
    <xf numFmtId="41" fontId="44" fillId="3" borderId="24" xfId="0" applyNumberFormat="1" applyFont="1" applyFill="1" applyBorder="1" applyAlignment="1">
      <alignment vertical="center"/>
    </xf>
    <xf numFmtId="15" fontId="44" fillId="3" borderId="24" xfId="6" applyNumberFormat="1" applyFont="1" applyFill="1" applyBorder="1" applyAlignment="1">
      <alignment horizontal="center" vertical="top"/>
    </xf>
    <xf numFmtId="0" fontId="44" fillId="0" borderId="1" xfId="0" applyFont="1" applyBorder="1" applyAlignment="1">
      <alignment wrapText="1"/>
    </xf>
    <xf numFmtId="41" fontId="44" fillId="3" borderId="20" xfId="6" applyFont="1" applyFill="1" applyBorder="1" applyAlignment="1">
      <alignment vertical="center"/>
    </xf>
    <xf numFmtId="43" fontId="44" fillId="3" borderId="5" xfId="0" applyNumberFormat="1" applyFont="1" applyFill="1" applyBorder="1" applyAlignment="1">
      <alignment vertical="center"/>
    </xf>
    <xf numFmtId="41" fontId="44" fillId="5" borderId="20" xfId="6" applyFont="1" applyFill="1" applyBorder="1" applyAlignment="1">
      <alignment vertical="top"/>
    </xf>
    <xf numFmtId="0" fontId="44" fillId="3" borderId="81" xfId="0" applyFont="1" applyFill="1" applyBorder="1" applyAlignment="1">
      <alignment horizontal="right" vertical="center"/>
    </xf>
    <xf numFmtId="43" fontId="44" fillId="3" borderId="1" xfId="0" applyNumberFormat="1" applyFont="1" applyFill="1" applyBorder="1" applyAlignment="1">
      <alignment horizontal="left" vertical="top" wrapText="1"/>
    </xf>
    <xf numFmtId="43" fontId="44" fillId="3" borderId="1" xfId="0" applyNumberFormat="1" applyFont="1" applyFill="1" applyBorder="1" applyAlignment="1">
      <alignment horizontal="center" vertical="top" wrapText="1"/>
    </xf>
    <xf numFmtId="43" fontId="44" fillId="3" borderId="5" xfId="0" applyNumberFormat="1" applyFont="1" applyFill="1" applyBorder="1" applyAlignment="1">
      <alignment horizontal="center" vertical="top" wrapText="1"/>
    </xf>
    <xf numFmtId="43" fontId="44" fillId="3" borderId="6" xfId="0" applyNumberFormat="1" applyFont="1" applyFill="1" applyBorder="1" applyAlignment="1">
      <alignment horizontal="center" vertical="top" wrapText="1"/>
    </xf>
    <xf numFmtId="43" fontId="44" fillId="3" borderId="10" xfId="0" applyNumberFormat="1" applyFont="1" applyFill="1" applyBorder="1" applyAlignment="1">
      <alignment horizontal="center" vertical="top" wrapText="1"/>
    </xf>
    <xf numFmtId="0" fontId="44" fillId="3" borderId="10" xfId="0" applyFont="1" applyFill="1" applyBorder="1" applyAlignment="1">
      <alignment vertical="top" wrapText="1"/>
    </xf>
    <xf numFmtId="0" fontId="44" fillId="5" borderId="63" xfId="0" applyFont="1" applyFill="1" applyBorder="1" applyAlignment="1">
      <alignment horizontal="center" vertical="top"/>
    </xf>
    <xf numFmtId="41" fontId="44" fillId="5" borderId="24" xfId="6" applyFont="1" applyFill="1" applyBorder="1" applyAlignment="1">
      <alignment vertical="top"/>
    </xf>
    <xf numFmtId="0" fontId="44" fillId="3" borderId="11" xfId="0" applyFont="1" applyFill="1" applyBorder="1" applyAlignment="1">
      <alignment vertical="center"/>
    </xf>
    <xf numFmtId="0" fontId="44" fillId="3" borderId="12" xfId="0" applyFont="1" applyFill="1" applyBorder="1" applyAlignment="1">
      <alignment vertical="top" wrapText="1"/>
    </xf>
    <xf numFmtId="0" fontId="44" fillId="3" borderId="12" xfId="0" applyFont="1" applyFill="1" applyBorder="1" applyAlignment="1">
      <alignment vertical="top"/>
    </xf>
    <xf numFmtId="15" fontId="44" fillId="3" borderId="12" xfId="6" applyNumberFormat="1" applyFont="1" applyFill="1" applyBorder="1" applyAlignment="1">
      <alignment horizontal="center" vertical="top"/>
    </xf>
    <xf numFmtId="0" fontId="46" fillId="3" borderId="10" xfId="0" applyFont="1" applyFill="1" applyBorder="1" applyAlignment="1">
      <alignment horizontal="left" vertical="top" wrapText="1"/>
    </xf>
    <xf numFmtId="0" fontId="44" fillId="5" borderId="21" xfId="0" applyFont="1" applyFill="1" applyBorder="1" applyAlignment="1">
      <alignment horizontal="left" vertical="top" wrapText="1"/>
    </xf>
    <xf numFmtId="0" fontId="44" fillId="3" borderId="24" xfId="0" applyFont="1" applyFill="1" applyBorder="1" applyAlignment="1">
      <alignment vertical="top" wrapText="1"/>
    </xf>
    <xf numFmtId="0" fontId="44" fillId="3" borderId="19" xfId="0" applyFont="1" applyFill="1" applyBorder="1" applyAlignment="1">
      <alignment horizontal="center" vertical="top"/>
    </xf>
    <xf numFmtId="0" fontId="44" fillId="3" borderId="16" xfId="0" applyFont="1" applyFill="1" applyBorder="1" applyAlignment="1">
      <alignment horizontal="left" vertical="top" wrapText="1"/>
    </xf>
    <xf numFmtId="0" fontId="44" fillId="3" borderId="117" xfId="0" applyFont="1" applyFill="1" applyBorder="1" applyAlignment="1">
      <alignment horizontal="center" vertical="top"/>
    </xf>
    <xf numFmtId="0" fontId="44" fillId="3" borderId="27" xfId="0" applyFont="1" applyFill="1" applyBorder="1" applyAlignment="1">
      <alignment horizontal="left" vertical="top" wrapText="1"/>
    </xf>
    <xf numFmtId="41" fontId="44" fillId="3" borderId="24" xfId="6" applyFont="1" applyFill="1" applyBorder="1" applyAlignment="1">
      <alignment horizontal="left" vertical="top" wrapText="1"/>
    </xf>
    <xf numFmtId="41" fontId="44" fillId="3" borderId="1" xfId="0" applyNumberFormat="1" applyFont="1" applyFill="1" applyBorder="1" applyAlignment="1">
      <alignment vertical="top"/>
    </xf>
    <xf numFmtId="43" fontId="46" fillId="0" borderId="1" xfId="3" applyFont="1" applyBorder="1" applyAlignment="1">
      <alignment horizontal="center" vertical="top"/>
    </xf>
    <xf numFmtId="14" fontId="44" fillId="0" borderId="1" xfId="0" applyNumberFormat="1" applyFont="1" applyBorder="1" applyAlignment="1">
      <alignment horizontal="center" vertical="top"/>
    </xf>
    <xf numFmtId="41" fontId="44" fillId="3" borderId="6" xfId="0" applyNumberFormat="1" applyFont="1" applyFill="1" applyBorder="1" applyAlignment="1">
      <alignment vertical="center"/>
    </xf>
    <xf numFmtId="41" fontId="44" fillId="3" borderId="6" xfId="0" applyNumberFormat="1" applyFont="1" applyFill="1" applyBorder="1" applyAlignment="1">
      <alignment vertical="top"/>
    </xf>
    <xf numFmtId="43" fontId="46" fillId="0" borderId="10" xfId="3" applyFont="1" applyBorder="1" applyAlignment="1">
      <alignment horizontal="center" vertical="top"/>
    </xf>
    <xf numFmtId="14" fontId="44" fillId="0" borderId="10" xfId="0" applyNumberFormat="1" applyFont="1" applyBorder="1" applyAlignment="1">
      <alignment horizontal="center" vertical="top"/>
    </xf>
    <xf numFmtId="41" fontId="44" fillId="3" borderId="10" xfId="0" applyNumberFormat="1" applyFont="1" applyFill="1" applyBorder="1" applyAlignment="1">
      <alignment vertical="center"/>
    </xf>
    <xf numFmtId="41" fontId="44" fillId="3" borderId="10" xfId="0" applyNumberFormat="1" applyFont="1" applyFill="1" applyBorder="1" applyAlignment="1">
      <alignment vertical="top"/>
    </xf>
    <xf numFmtId="14" fontId="44" fillId="0" borderId="6" xfId="0" applyNumberFormat="1" applyFont="1" applyBorder="1" applyAlignment="1">
      <alignment horizontal="center" vertical="top"/>
    </xf>
    <xf numFmtId="41" fontId="44" fillId="3" borderId="5" xfId="0" applyNumberFormat="1" applyFont="1" applyFill="1" applyBorder="1" applyAlignment="1">
      <alignment vertical="top"/>
    </xf>
    <xf numFmtId="0" fontId="44" fillId="3" borderId="119" xfId="0" applyFont="1" applyFill="1" applyBorder="1" applyAlignment="1">
      <alignment horizontal="center" vertical="top"/>
    </xf>
    <xf numFmtId="0" fontId="44" fillId="3" borderId="28" xfId="0" applyFont="1" applyFill="1" applyBorder="1" applyAlignment="1">
      <alignment vertical="top"/>
    </xf>
    <xf numFmtId="0" fontId="44" fillId="3" borderId="29" xfId="0" applyFont="1" applyFill="1" applyBorder="1" applyAlignment="1">
      <alignment vertical="top"/>
    </xf>
    <xf numFmtId="0" fontId="44" fillId="3" borderId="29" xfId="0" applyFont="1" applyFill="1" applyBorder="1" applyAlignment="1">
      <alignment vertical="center"/>
    </xf>
    <xf numFmtId="41" fontId="44" fillId="3" borderId="29" xfId="0" applyNumberFormat="1" applyFont="1" applyFill="1" applyBorder="1" applyAlignment="1">
      <alignment vertical="center"/>
    </xf>
    <xf numFmtId="15" fontId="44" fillId="3" borderId="29" xfId="6" applyNumberFormat="1" applyFont="1" applyFill="1" applyBorder="1" applyAlignment="1">
      <alignment horizontal="center" vertical="top"/>
    </xf>
    <xf numFmtId="0" fontId="44" fillId="3" borderId="113" xfId="0" applyFont="1" applyFill="1" applyBorder="1" applyAlignment="1">
      <alignment horizontal="center" vertical="top"/>
    </xf>
    <xf numFmtId="0" fontId="44" fillId="3" borderId="105" xfId="0" applyFont="1" applyFill="1" applyBorder="1"/>
    <xf numFmtId="0" fontId="44" fillId="3" borderId="1" xfId="0" applyFont="1" applyFill="1" applyBorder="1" applyAlignment="1"/>
    <xf numFmtId="0" fontId="44" fillId="3" borderId="1" xfId="0" applyFont="1" applyFill="1" applyBorder="1"/>
    <xf numFmtId="41" fontId="46" fillId="5" borderId="25" xfId="6" applyFont="1" applyFill="1" applyBorder="1" applyAlignment="1">
      <alignment vertical="center" wrapText="1"/>
    </xf>
    <xf numFmtId="41" fontId="46" fillId="3" borderId="6" xfId="6" applyFont="1" applyFill="1" applyBorder="1" applyAlignment="1">
      <alignment horizontal="center" vertical="top"/>
    </xf>
    <xf numFmtId="41" fontId="44" fillId="3" borderId="17" xfId="6" applyFont="1" applyFill="1" applyBorder="1" applyAlignment="1">
      <alignment horizontal="left" vertical="top" wrapText="1"/>
    </xf>
    <xf numFmtId="41" fontId="46" fillId="3" borderId="5" xfId="6" applyFont="1" applyFill="1" applyBorder="1" applyAlignment="1">
      <alignment horizontal="center" vertical="top"/>
    </xf>
    <xf numFmtId="0" fontId="44" fillId="3" borderId="30" xfId="0" applyFont="1" applyFill="1" applyBorder="1" applyAlignment="1">
      <alignment vertical="center"/>
    </xf>
    <xf numFmtId="41" fontId="44" fillId="3" borderId="24" xfId="0" applyNumberFormat="1" applyFont="1" applyFill="1" applyBorder="1" applyAlignment="1">
      <alignment vertical="top"/>
    </xf>
    <xf numFmtId="0" fontId="44" fillId="3" borderId="11" xfId="0" applyFont="1" applyFill="1" applyBorder="1"/>
    <xf numFmtId="0" fontId="44" fillId="3" borderId="12" xfId="0" applyFont="1" applyFill="1" applyBorder="1" applyAlignment="1"/>
    <xf numFmtId="43" fontId="44" fillId="5" borderId="55" xfId="0" applyNumberFormat="1" applyFont="1" applyFill="1" applyBorder="1" applyAlignment="1">
      <alignment horizontal="center" vertical="center"/>
    </xf>
    <xf numFmtId="43" fontId="61" fillId="5" borderId="10" xfId="3" applyNumberFormat="1" applyFont="1" applyFill="1" applyBorder="1" applyAlignment="1">
      <alignment horizontal="center" vertical="center"/>
    </xf>
    <xf numFmtId="0" fontId="44" fillId="3" borderId="109" xfId="0" applyFont="1" applyFill="1" applyBorder="1"/>
    <xf numFmtId="41" fontId="44" fillId="3" borderId="109" xfId="6" applyFont="1" applyFill="1" applyBorder="1"/>
    <xf numFmtId="0" fontId="44" fillId="3" borderId="109" xfId="0" applyFont="1" applyFill="1" applyBorder="1" applyAlignment="1"/>
    <xf numFmtId="15" fontId="44" fillId="3" borderId="109" xfId="0" applyNumberFormat="1" applyFont="1" applyFill="1" applyBorder="1"/>
    <xf numFmtId="15" fontId="44" fillId="3" borderId="1" xfId="0" applyNumberFormat="1" applyFont="1" applyFill="1" applyBorder="1" applyAlignment="1">
      <alignment horizontal="left" vertical="top" wrapText="1"/>
    </xf>
    <xf numFmtId="0" fontId="46" fillId="0" borderId="2" xfId="0" applyFont="1" applyFill="1" applyBorder="1" applyAlignment="1">
      <alignment horizontal="left" vertical="top" wrapText="1"/>
    </xf>
    <xf numFmtId="0" fontId="44" fillId="3" borderId="28" xfId="0" applyFont="1" applyFill="1" applyBorder="1" applyAlignment="1">
      <alignment horizontal="center" vertical="top" wrapText="1"/>
    </xf>
    <xf numFmtId="0" fontId="44" fillId="3" borderId="29" xfId="0" applyFont="1" applyFill="1" applyBorder="1" applyAlignment="1">
      <alignment horizontal="left" vertical="top" wrapText="1"/>
    </xf>
    <xf numFmtId="0" fontId="44" fillId="5" borderId="11" xfId="0" applyFont="1" applyFill="1" applyBorder="1" applyAlignment="1">
      <alignment horizontal="center" vertical="top" wrapText="1"/>
    </xf>
    <xf numFmtId="0" fontId="44" fillId="5" borderId="12" xfId="0" applyFont="1" applyFill="1" applyBorder="1" applyAlignment="1">
      <alignment horizontal="left" vertical="top" wrapText="1"/>
    </xf>
    <xf numFmtId="41" fontId="44" fillId="5" borderId="12" xfId="6" applyFont="1" applyFill="1" applyBorder="1" applyAlignment="1">
      <alignment horizontal="left" vertical="top" wrapText="1"/>
    </xf>
    <xf numFmtId="15" fontId="44" fillId="5" borderId="12" xfId="0" applyNumberFormat="1" applyFont="1" applyFill="1" applyBorder="1" applyAlignment="1">
      <alignment horizontal="left" vertical="top" wrapText="1"/>
    </xf>
    <xf numFmtId="0" fontId="44" fillId="5" borderId="117" xfId="0" applyFont="1" applyFill="1" applyBorder="1" applyAlignment="1">
      <alignment horizontal="center" vertical="center"/>
    </xf>
    <xf numFmtId="0" fontId="44" fillId="5" borderId="105" xfId="0" applyFont="1" applyFill="1" applyBorder="1" applyAlignment="1">
      <alignment horizontal="center" vertical="top" wrapText="1"/>
    </xf>
    <xf numFmtId="0" fontId="44" fillId="5" borderId="1" xfId="0" applyFont="1" applyFill="1" applyBorder="1" applyAlignment="1">
      <alignment horizontal="left" vertical="top" wrapText="1"/>
    </xf>
    <xf numFmtId="41" fontId="44" fillId="5" borderId="1" xfId="6" applyFont="1" applyFill="1" applyBorder="1" applyAlignment="1">
      <alignment horizontal="left" vertical="top" wrapText="1"/>
    </xf>
    <xf numFmtId="15" fontId="44" fillId="5" borderId="1" xfId="0" applyNumberFormat="1" applyFont="1" applyFill="1" applyBorder="1" applyAlignment="1">
      <alignment horizontal="left" vertical="top" wrapText="1"/>
    </xf>
    <xf numFmtId="0" fontId="44" fillId="14" borderId="105" xfId="0" applyFont="1" applyFill="1" applyBorder="1" applyAlignment="1">
      <alignment horizontal="center"/>
    </xf>
    <xf numFmtId="0" fontId="44" fillId="14" borderId="10" xfId="0" applyFont="1" applyFill="1" applyBorder="1" applyAlignment="1">
      <alignment horizontal="center" vertical="center" wrapText="1"/>
    </xf>
    <xf numFmtId="0" fontId="44" fillId="14" borderId="55" xfId="0" applyFont="1" applyFill="1" applyBorder="1" applyAlignment="1">
      <alignment horizontal="center" vertical="center"/>
    </xf>
    <xf numFmtId="43" fontId="44" fillId="14" borderId="10" xfId="3" applyNumberFormat="1" applyFont="1" applyFill="1" applyBorder="1" applyAlignment="1">
      <alignment horizontal="center" vertical="center"/>
    </xf>
    <xf numFmtId="0" fontId="44" fillId="3" borderId="1" xfId="0" applyFont="1" applyFill="1" applyBorder="1" applyAlignment="1">
      <alignment horizontal="center" vertical="center"/>
    </xf>
    <xf numFmtId="43" fontId="44" fillId="3" borderId="1" xfId="3" applyNumberFormat="1" applyFont="1" applyFill="1" applyBorder="1" applyAlignment="1">
      <alignment horizontal="center" vertical="center"/>
    </xf>
    <xf numFmtId="41" fontId="44" fillId="3" borderId="55" xfId="6" applyFont="1" applyFill="1" applyBorder="1" applyAlignment="1">
      <alignment horizontal="center" vertical="center"/>
    </xf>
    <xf numFmtId="0" fontId="44" fillId="3" borderId="26" xfId="0" applyFont="1" applyFill="1" applyBorder="1"/>
    <xf numFmtId="41" fontId="44" fillId="3" borderId="0" xfId="6" applyFont="1" applyFill="1" applyBorder="1" applyAlignment="1"/>
    <xf numFmtId="41" fontId="46" fillId="3" borderId="24" xfId="6" applyFont="1" applyFill="1" applyBorder="1" applyAlignment="1">
      <alignment horizontal="center" vertical="top"/>
    </xf>
    <xf numFmtId="41" fontId="46" fillId="3" borderId="12" xfId="6" applyFont="1" applyFill="1" applyBorder="1" applyAlignment="1">
      <alignment horizontal="center" vertical="top"/>
    </xf>
    <xf numFmtId="41" fontId="46" fillId="5" borderId="10" xfId="6" applyFont="1" applyFill="1" applyBorder="1" applyAlignment="1">
      <alignment vertical="top"/>
    </xf>
    <xf numFmtId="41" fontId="46" fillId="3" borderId="15" xfId="6" applyFont="1" applyFill="1" applyBorder="1" applyAlignment="1">
      <alignment horizontal="left" vertical="top"/>
    </xf>
    <xf numFmtId="41" fontId="46" fillId="3" borderId="109" xfId="6" applyFont="1" applyFill="1" applyBorder="1"/>
    <xf numFmtId="0" fontId="44" fillId="3" borderId="120" xfId="0" applyFont="1" applyFill="1" applyBorder="1"/>
    <xf numFmtId="41" fontId="44" fillId="3" borderId="17" xfId="6" applyFont="1" applyFill="1" applyBorder="1" applyAlignment="1">
      <alignment horizontal="right" vertical="top" wrapText="1"/>
    </xf>
    <xf numFmtId="41" fontId="44" fillId="3" borderId="20" xfId="6" applyFont="1" applyFill="1" applyBorder="1" applyAlignment="1">
      <alignment horizontal="right" vertical="top" wrapText="1"/>
    </xf>
    <xf numFmtId="41" fontId="44" fillId="3" borderId="18" xfId="6" applyFont="1" applyFill="1" applyBorder="1" applyAlignment="1">
      <alignment horizontal="left" vertical="top" wrapText="1"/>
    </xf>
    <xf numFmtId="179" fontId="44" fillId="3" borderId="5" xfId="0" applyNumberFormat="1" applyFont="1" applyFill="1" applyBorder="1" applyAlignment="1">
      <alignment horizontal="left" vertical="top" wrapText="1"/>
    </xf>
    <xf numFmtId="43" fontId="44" fillId="3" borderId="29" xfId="0" applyNumberFormat="1" applyFont="1" applyFill="1" applyBorder="1" applyAlignment="1">
      <alignment horizontal="left" vertical="top" wrapText="1"/>
    </xf>
    <xf numFmtId="0" fontId="44" fillId="5" borderId="13" xfId="0" applyFont="1" applyFill="1" applyBorder="1" applyAlignment="1">
      <alignment horizontal="left" vertical="top" wrapText="1"/>
    </xf>
    <xf numFmtId="43" fontId="44" fillId="5" borderId="15" xfId="0" applyNumberFormat="1" applyFont="1" applyFill="1" applyBorder="1" applyAlignment="1">
      <alignment horizontal="left" vertical="top" wrapText="1"/>
    </xf>
    <xf numFmtId="43" fontId="44" fillId="14" borderId="20" xfId="3" applyNumberFormat="1" applyFont="1" applyFill="1" applyBorder="1" applyAlignment="1">
      <alignment horizontal="center" vertical="center" wrapText="1"/>
    </xf>
    <xf numFmtId="0" fontId="44" fillId="5" borderId="15" xfId="0" applyFont="1" applyFill="1" applyBorder="1" applyAlignment="1">
      <alignment horizontal="left" vertical="top" wrapText="1"/>
    </xf>
    <xf numFmtId="43" fontId="44" fillId="3" borderId="20" xfId="0" applyNumberFormat="1" applyFont="1" applyFill="1" applyBorder="1" applyAlignment="1">
      <alignment horizontal="center" vertical="center"/>
    </xf>
    <xf numFmtId="41" fontId="44" fillId="3" borderId="20" xfId="6" applyFont="1" applyFill="1" applyBorder="1" applyAlignment="1">
      <alignment horizontal="center" vertical="center"/>
    </xf>
    <xf numFmtId="43" fontId="44" fillId="3" borderId="111" xfId="0" applyNumberFormat="1" applyFont="1" applyFill="1" applyBorder="1"/>
    <xf numFmtId="43" fontId="22" fillId="0" borderId="0" xfId="1356" applyNumberFormat="1" applyFont="1" applyAlignment="1">
      <alignment horizontal="center"/>
    </xf>
    <xf numFmtId="182" fontId="18" fillId="0" borderId="0" xfId="84" applyNumberFormat="1" applyFont="1" applyAlignment="1">
      <alignment horizontal="center"/>
    </xf>
    <xf numFmtId="0" fontId="33" fillId="5" borderId="1" xfId="1100" applyFont="1" applyFill="1" applyBorder="1" applyAlignment="1">
      <alignment horizontal="center" vertical="center" wrapText="1"/>
    </xf>
    <xf numFmtId="0" fontId="17" fillId="0" borderId="6" xfId="1100" applyFont="1" applyBorder="1" applyAlignment="1">
      <alignment horizontal="center" wrapText="1"/>
    </xf>
    <xf numFmtId="0" fontId="17" fillId="0" borderId="6" xfId="1100" applyFont="1" applyBorder="1" applyAlignment="1">
      <alignment wrapText="1"/>
    </xf>
    <xf numFmtId="182" fontId="12" fillId="0" borderId="6" xfId="84" applyNumberFormat="1" applyFont="1" applyBorder="1" applyAlignment="1">
      <alignment wrapText="1"/>
    </xf>
    <xf numFmtId="190" fontId="12" fillId="0" borderId="6" xfId="84" applyNumberFormat="1" applyFont="1" applyBorder="1" applyAlignment="1">
      <alignment horizontal="center" wrapText="1"/>
    </xf>
    <xf numFmtId="182" fontId="33" fillId="0" borderId="1" xfId="84" applyNumberFormat="1" applyFont="1" applyBorder="1" applyAlignment="1">
      <alignment wrapText="1"/>
    </xf>
    <xf numFmtId="190" fontId="33" fillId="0" borderId="1" xfId="84" applyNumberFormat="1" applyFont="1" applyBorder="1" applyAlignment="1">
      <alignment wrapText="1"/>
    </xf>
    <xf numFmtId="0" fontId="17" fillId="0" borderId="0" xfId="1100" applyFont="1" applyAlignment="1">
      <alignment horizontal="center" wrapText="1"/>
    </xf>
    <xf numFmtId="0" fontId="17" fillId="0" borderId="0" xfId="1100" applyFont="1" applyAlignment="1">
      <alignment wrapText="1"/>
    </xf>
    <xf numFmtId="182" fontId="12" fillId="0" borderId="0" xfId="84" applyNumberFormat="1" applyFont="1" applyAlignment="1">
      <alignment wrapText="1"/>
    </xf>
    <xf numFmtId="190" fontId="12" fillId="0" borderId="0" xfId="84" applyNumberFormat="1" applyFont="1" applyAlignment="1">
      <alignment wrapText="1"/>
    </xf>
    <xf numFmtId="41" fontId="12" fillId="0" borderId="0" xfId="84" applyNumberFormat="1" applyFont="1" applyAlignment="1">
      <alignment wrapText="1"/>
    </xf>
    <xf numFmtId="14" fontId="33" fillId="5" borderId="1" xfId="1100" applyNumberFormat="1" applyFont="1" applyFill="1" applyBorder="1" applyAlignment="1">
      <alignment horizontal="center" vertical="center" wrapText="1"/>
    </xf>
    <xf numFmtId="0" fontId="17" fillId="0" borderId="1" xfId="1100" applyFont="1" applyFill="1" applyBorder="1" applyAlignment="1">
      <alignment horizontal="center" wrapText="1"/>
    </xf>
    <xf numFmtId="0" fontId="17" fillId="0" borderId="1" xfId="1100" applyFont="1" applyFill="1" applyBorder="1" applyAlignment="1">
      <alignment wrapText="1"/>
    </xf>
    <xf numFmtId="182" fontId="12" fillId="0" borderId="1" xfId="84" applyNumberFormat="1" applyFont="1" applyFill="1" applyBorder="1" applyAlignment="1">
      <alignment wrapText="1"/>
    </xf>
    <xf numFmtId="182" fontId="33" fillId="0" borderId="1" xfId="84" applyNumberFormat="1" applyFont="1" applyFill="1" applyBorder="1" applyAlignment="1">
      <alignment wrapText="1"/>
    </xf>
    <xf numFmtId="0" fontId="17" fillId="0" borderId="0" xfId="1100" applyFont="1" applyFill="1" applyAlignment="1">
      <alignment horizontal="center" wrapText="1"/>
    </xf>
    <xf numFmtId="0" fontId="17" fillId="0" borderId="0" xfId="1100" applyFont="1" applyFill="1" applyAlignment="1">
      <alignment wrapText="1"/>
    </xf>
    <xf numFmtId="182" fontId="17" fillId="0" borderId="1" xfId="1100" applyNumberFormat="1" applyFont="1" applyFill="1" applyBorder="1" applyAlignment="1">
      <alignment wrapText="1"/>
    </xf>
    <xf numFmtId="164" fontId="62" fillId="5" borderId="1" xfId="84" applyNumberFormat="1" applyFont="1" applyFill="1" applyBorder="1" applyAlignment="1">
      <alignment horizontal="center" vertical="center"/>
    </xf>
    <xf numFmtId="182" fontId="12" fillId="0" borderId="1" xfId="84" applyNumberFormat="1" applyFont="1" applyFill="1" applyBorder="1" applyAlignment="1">
      <alignment horizontal="right" wrapText="1"/>
    </xf>
    <xf numFmtId="164" fontId="63" fillId="0" borderId="1" xfId="84" applyNumberFormat="1" applyFont="1" applyFill="1" applyBorder="1"/>
    <xf numFmtId="164" fontId="0" fillId="0" borderId="1" xfId="84" applyNumberFormat="1" applyFont="1" applyBorder="1"/>
    <xf numFmtId="0" fontId="92" fillId="0" borderId="0" xfId="1100"/>
    <xf numFmtId="0" fontId="33" fillId="0" borderId="0" xfId="1100" applyFont="1" applyAlignment="1">
      <alignment vertical="center" wrapText="1"/>
    </xf>
    <xf numFmtId="0" fontId="33" fillId="0" borderId="0" xfId="1100" applyFont="1" applyAlignment="1">
      <alignment wrapText="1"/>
    </xf>
    <xf numFmtId="41" fontId="12" fillId="0" borderId="1" xfId="84" applyNumberFormat="1" applyFont="1" applyFill="1" applyBorder="1" applyAlignment="1">
      <alignment wrapText="1"/>
    </xf>
    <xf numFmtId="164" fontId="17" fillId="0" borderId="0" xfId="84" applyNumberFormat="1" applyFont="1" applyAlignment="1">
      <alignment wrapText="1"/>
    </xf>
    <xf numFmtId="182" fontId="17" fillId="0" borderId="0" xfId="1100" applyNumberFormat="1" applyFont="1" applyAlignment="1">
      <alignment wrapText="1"/>
    </xf>
    <xf numFmtId="182" fontId="92" fillId="0" borderId="0" xfId="1100" applyNumberFormat="1"/>
    <xf numFmtId="0" fontId="36" fillId="0" borderId="0" xfId="1327" applyFont="1"/>
    <xf numFmtId="43" fontId="36" fillId="0" borderId="0" xfId="1327" applyNumberFormat="1" applyFont="1"/>
    <xf numFmtId="0" fontId="10" fillId="0" borderId="0" xfId="1327" applyFont="1" applyBorder="1"/>
    <xf numFmtId="43" fontId="12" fillId="0" borderId="0" xfId="1327" applyNumberFormat="1" applyFont="1" applyBorder="1"/>
    <xf numFmtId="0" fontId="12" fillId="0" borderId="0" xfId="1327" applyFont="1"/>
    <xf numFmtId="0" fontId="14" fillId="0" borderId="0" xfId="1069" applyFont="1"/>
    <xf numFmtId="41" fontId="11" fillId="0" borderId="0" xfId="84" applyFont="1"/>
    <xf numFmtId="0" fontId="28" fillId="0" borderId="1" xfId="1069" applyFont="1" applyBorder="1" applyAlignment="1">
      <alignment horizontal="left" vertical="top" wrapText="1"/>
    </xf>
    <xf numFmtId="0" fontId="28" fillId="0" borderId="1" xfId="1069" applyFont="1" applyBorder="1" applyAlignment="1">
      <alignment vertical="top" wrapText="1"/>
    </xf>
    <xf numFmtId="184" fontId="28" fillId="0" borderId="1" xfId="1069" applyNumberFormat="1" applyFont="1" applyBorder="1" applyAlignment="1">
      <alignment vertical="top" wrapText="1"/>
    </xf>
    <xf numFmtId="0" fontId="28" fillId="3" borderId="1" xfId="1069" applyFont="1" applyFill="1" applyBorder="1" applyAlignment="1">
      <alignment horizontal="center" vertical="top" wrapText="1"/>
    </xf>
    <xf numFmtId="0" fontId="28" fillId="3" borderId="1" xfId="1069" applyFont="1" applyFill="1" applyBorder="1" applyAlignment="1">
      <alignment vertical="top" wrapText="1"/>
    </xf>
    <xf numFmtId="0" fontId="28" fillId="3" borderId="1" xfId="1069" applyFont="1" applyFill="1" applyBorder="1" applyAlignment="1">
      <alignment vertical="top" wrapText="1" readingOrder="1"/>
    </xf>
    <xf numFmtId="184" fontId="30" fillId="3" borderId="1" xfId="1069" applyNumberFormat="1" applyFont="1" applyFill="1" applyBorder="1" applyAlignment="1">
      <alignment vertical="top" wrapText="1"/>
    </xf>
    <xf numFmtId="0" fontId="11" fillId="3" borderId="0" xfId="1069" applyFont="1" applyFill="1"/>
    <xf numFmtId="184" fontId="28" fillId="3" borderId="1" xfId="1069" applyNumberFormat="1" applyFont="1" applyFill="1" applyBorder="1" applyAlignment="1">
      <alignment vertical="top" wrapText="1"/>
    </xf>
    <xf numFmtId="0" fontId="30" fillId="3" borderId="1" xfId="1069" applyFont="1" applyFill="1" applyBorder="1" applyAlignment="1">
      <alignment horizontal="center" vertical="top" wrapText="1"/>
    </xf>
    <xf numFmtId="0" fontId="16" fillId="3" borderId="1" xfId="1069" applyFont="1" applyFill="1" applyBorder="1" applyAlignment="1">
      <alignment horizontal="center"/>
    </xf>
    <xf numFmtId="0" fontId="28" fillId="3" borderId="1" xfId="1069" applyFont="1" applyFill="1" applyBorder="1" applyAlignment="1">
      <alignment vertical="center"/>
    </xf>
    <xf numFmtId="0" fontId="28" fillId="3" borderId="1" xfId="1069" applyFont="1" applyFill="1" applyBorder="1"/>
    <xf numFmtId="0" fontId="15" fillId="3" borderId="1" xfId="1069" applyFont="1" applyFill="1" applyBorder="1" applyAlignment="1">
      <alignment horizontal="center"/>
    </xf>
    <xf numFmtId="0" fontId="30" fillId="3" borderId="1" xfId="1069" applyFont="1" applyFill="1" applyBorder="1"/>
    <xf numFmtId="0" fontId="11" fillId="3" borderId="1" xfId="1069" applyFont="1" applyFill="1" applyBorder="1"/>
    <xf numFmtId="177" fontId="16" fillId="3" borderId="1" xfId="1069" applyNumberFormat="1" applyFont="1" applyFill="1" applyBorder="1" applyAlignment="1">
      <alignment horizontal="center"/>
    </xf>
    <xf numFmtId="43" fontId="17" fillId="3" borderId="1" xfId="1102" applyNumberFormat="1" applyFont="1" applyFill="1" applyBorder="1"/>
    <xf numFmtId="170" fontId="28" fillId="3" borderId="1" xfId="1069" applyNumberFormat="1" applyFont="1" applyFill="1" applyBorder="1"/>
    <xf numFmtId="41" fontId="13" fillId="0" borderId="0" xfId="84" applyFont="1" applyAlignment="1"/>
    <xf numFmtId="182" fontId="11" fillId="0" borderId="0" xfId="84" applyNumberFormat="1" applyFont="1"/>
    <xf numFmtId="0" fontId="9" fillId="0" borderId="0" xfId="1069" applyFont="1" applyAlignment="1"/>
    <xf numFmtId="43" fontId="17" fillId="3" borderId="1" xfId="1695" applyNumberFormat="1" applyFont="1" applyFill="1" applyBorder="1"/>
    <xf numFmtId="177" fontId="16" fillId="3" borderId="2" xfId="1069" applyNumberFormat="1" applyFont="1" applyFill="1" applyBorder="1" applyAlignment="1">
      <alignment horizontal="center"/>
    </xf>
    <xf numFmtId="170" fontId="16" fillId="3" borderId="1" xfId="1069" applyNumberFormat="1" applyFont="1" applyFill="1" applyBorder="1"/>
    <xf numFmtId="0" fontId="28" fillId="3" borderId="1" xfId="1069" applyFont="1" applyFill="1" applyBorder="1" applyAlignment="1">
      <alignment horizontal="center" vertical="center" wrapText="1"/>
    </xf>
    <xf numFmtId="184" fontId="30" fillId="5" borderId="3" xfId="1069" applyNumberFormat="1" applyFont="1" applyFill="1" applyBorder="1" applyAlignment="1">
      <alignment horizontal="right" vertical="top" wrapText="1" readingOrder="1"/>
    </xf>
    <xf numFmtId="0" fontId="20" fillId="0" borderId="0" xfId="1358" applyFont="1">
      <alignment vertical="top"/>
    </xf>
    <xf numFmtId="0" fontId="64" fillId="0" borderId="0" xfId="1358" applyFont="1">
      <alignment vertical="top"/>
    </xf>
    <xf numFmtId="0" fontId="65" fillId="0" borderId="0" xfId="1358" applyFont="1">
      <alignment vertical="top"/>
    </xf>
    <xf numFmtId="0" fontId="65" fillId="0" borderId="0" xfId="1358" applyFont="1" applyAlignment="1">
      <alignment vertical="top" wrapText="1"/>
    </xf>
    <xf numFmtId="0" fontId="66" fillId="0" borderId="0" xfId="1358" applyFont="1" applyAlignment="1">
      <alignment vertical="top" wrapText="1" readingOrder="1"/>
    </xf>
    <xf numFmtId="0" fontId="68" fillId="0" borderId="0" xfId="1358" applyFont="1" applyAlignment="1">
      <alignment vertical="top" wrapText="1" readingOrder="1"/>
    </xf>
    <xf numFmtId="0" fontId="69" fillId="0" borderId="0" xfId="1358" applyFont="1">
      <alignment vertical="top"/>
    </xf>
    <xf numFmtId="0" fontId="69" fillId="0" borderId="0" xfId="1358" applyFont="1" applyAlignment="1">
      <alignment vertical="top" wrapText="1"/>
    </xf>
    <xf numFmtId="0" fontId="64" fillId="0" borderId="0" xfId="1358" applyFont="1" applyAlignment="1">
      <alignment vertical="top" wrapText="1" readingOrder="1"/>
    </xf>
    <xf numFmtId="14" fontId="20" fillId="0" borderId="6" xfId="1358" applyNumberFormat="1" applyFont="1" applyBorder="1" applyAlignment="1">
      <alignment vertical="top"/>
    </xf>
    <xf numFmtId="0" fontId="20" fillId="0" borderId="6" xfId="1358" applyFont="1" applyBorder="1" applyAlignment="1">
      <alignment vertical="top" wrapText="1"/>
    </xf>
    <xf numFmtId="0" fontId="20" fillId="0" borderId="6" xfId="1358" applyFont="1" applyBorder="1" applyAlignment="1">
      <alignment vertical="top" wrapText="1" readingOrder="1"/>
    </xf>
    <xf numFmtId="39" fontId="20" fillId="0" borderId="6" xfId="1358" applyNumberFormat="1" applyFont="1" applyBorder="1" applyAlignment="1">
      <alignment horizontal="right" vertical="top"/>
    </xf>
    <xf numFmtId="0" fontId="20" fillId="0" borderId="6" xfId="1358" applyFont="1" applyBorder="1">
      <alignment vertical="top"/>
    </xf>
    <xf numFmtId="14" fontId="20" fillId="0" borderId="29" xfId="1358" applyNumberFormat="1" applyFont="1" applyBorder="1" applyAlignment="1">
      <alignment vertical="top"/>
    </xf>
    <xf numFmtId="0" fontId="20" fillId="0" borderId="29" xfId="1358" applyFont="1" applyBorder="1" applyAlignment="1">
      <alignment vertical="top" wrapText="1" readingOrder="1"/>
    </xf>
    <xf numFmtId="39" fontId="20" fillId="0" borderId="29" xfId="1358" applyNumberFormat="1" applyFont="1" applyBorder="1" applyAlignment="1">
      <alignment horizontal="right" vertical="top"/>
    </xf>
    <xf numFmtId="0" fontId="20" fillId="0" borderId="29" xfId="1358" applyFont="1" applyBorder="1">
      <alignment vertical="top"/>
    </xf>
    <xf numFmtId="0" fontId="20" fillId="0" borderId="6" xfId="1358" applyFont="1" applyBorder="1" applyAlignment="1">
      <alignment vertical="top"/>
    </xf>
    <xf numFmtId="0" fontId="20" fillId="0" borderId="29" xfId="1358" applyFont="1" applyBorder="1" applyAlignment="1">
      <alignment vertical="top"/>
    </xf>
    <xf numFmtId="0" fontId="20" fillId="0" borderId="29" xfId="1358" applyFont="1" applyBorder="1" applyAlignment="1">
      <alignment vertical="top" wrapText="1"/>
    </xf>
    <xf numFmtId="0" fontId="71" fillId="0" borderId="6" xfId="1358" applyFont="1" applyBorder="1" applyAlignment="1">
      <alignment vertical="top"/>
    </xf>
    <xf numFmtId="0" fontId="71" fillId="0" borderId="29" xfId="1358" applyFont="1" applyBorder="1" applyAlignment="1">
      <alignment vertical="top"/>
    </xf>
    <xf numFmtId="39" fontId="64" fillId="0" borderId="1" xfId="1358" applyNumberFormat="1" applyFont="1" applyBorder="1">
      <alignment vertical="top"/>
    </xf>
    <xf numFmtId="0" fontId="20" fillId="0" borderId="0" xfId="1358" applyFont="1" applyAlignment="1">
      <alignment vertical="top" wrapText="1"/>
    </xf>
    <xf numFmtId="171" fontId="20" fillId="0" borderId="0" xfId="193" applyFont="1" applyAlignment="1">
      <alignment vertical="top"/>
    </xf>
    <xf numFmtId="0" fontId="92" fillId="4" borderId="0" xfId="1085" applyFill="1"/>
    <xf numFmtId="0" fontId="0" fillId="0" borderId="0" xfId="1085" applyFont="1"/>
    <xf numFmtId="0" fontId="72" fillId="0" borderId="0" xfId="1085" applyFont="1"/>
    <xf numFmtId="43" fontId="0" fillId="0" borderId="0" xfId="812" applyFont="1"/>
    <xf numFmtId="0" fontId="92" fillId="0" borderId="0" xfId="1085"/>
    <xf numFmtId="0" fontId="74" fillId="0" borderId="0" xfId="1085" applyFont="1"/>
    <xf numFmtId="0" fontId="75" fillId="16" borderId="1" xfId="1085" applyFont="1" applyFill="1" applyBorder="1" applyAlignment="1">
      <alignment horizontal="center"/>
    </xf>
    <xf numFmtId="0" fontId="92" fillId="0" borderId="5" xfId="1085" applyBorder="1" applyAlignment="1">
      <alignment horizontal="center"/>
    </xf>
    <xf numFmtId="43" fontId="0" fillId="0" borderId="5" xfId="812" applyFont="1" applyBorder="1" applyAlignment="1">
      <alignment horizontal="center"/>
    </xf>
    <xf numFmtId="0" fontId="92" fillId="4" borderId="5" xfId="1085" applyFill="1" applyBorder="1" applyAlignment="1">
      <alignment horizontal="center"/>
    </xf>
    <xf numFmtId="0" fontId="76" fillId="4" borderId="70" xfId="1696" applyFont="1" applyFill="1" applyBorder="1" applyAlignment="1">
      <alignment horizontal="center"/>
    </xf>
    <xf numFmtId="0" fontId="76" fillId="4" borderId="32" xfId="1494" applyFont="1" applyFill="1" applyBorder="1" applyAlignment="1">
      <alignment horizontal="left" wrapText="1"/>
    </xf>
    <xf numFmtId="43" fontId="76" fillId="4" borderId="32" xfId="812" applyFont="1" applyFill="1" applyBorder="1" applyAlignment="1">
      <alignment horizontal="left" wrapText="1"/>
    </xf>
    <xf numFmtId="43" fontId="92" fillId="4" borderId="32" xfId="1085" applyNumberFormat="1" applyFill="1" applyBorder="1"/>
    <xf numFmtId="0" fontId="77" fillId="4" borderId="70" xfId="1696" applyFont="1" applyFill="1" applyBorder="1" applyAlignment="1">
      <alignment horizontal="center"/>
    </xf>
    <xf numFmtId="0" fontId="76" fillId="4" borderId="70" xfId="1696" applyFont="1" applyFill="1" applyBorder="1" applyAlignment="1">
      <alignment horizontal="center" vertical="top"/>
    </xf>
    <xf numFmtId="0" fontId="76" fillId="4" borderId="32" xfId="1494" applyFont="1" applyFill="1" applyBorder="1" applyAlignment="1">
      <alignment horizontal="left" vertical="top" wrapText="1"/>
    </xf>
    <xf numFmtId="0" fontId="76" fillId="3" borderId="32" xfId="1494" applyFont="1" applyFill="1" applyBorder="1" applyAlignment="1">
      <alignment vertical="top" wrapText="1"/>
    </xf>
    <xf numFmtId="43" fontId="76" fillId="3" borderId="32" xfId="812" applyFont="1" applyFill="1" applyBorder="1" applyAlignment="1">
      <alignment vertical="top" wrapText="1"/>
    </xf>
    <xf numFmtId="43" fontId="92" fillId="4" borderId="32" xfId="1085" applyNumberFormat="1" applyFill="1" applyBorder="1" applyAlignment="1">
      <alignment vertical="center"/>
    </xf>
    <xf numFmtId="0" fontId="76" fillId="3" borderId="32" xfId="1494" applyFont="1" applyFill="1" applyBorder="1" applyAlignment="1">
      <alignment wrapText="1"/>
    </xf>
    <xf numFmtId="43" fontId="76" fillId="3" borderId="32" xfId="812" applyFont="1" applyFill="1" applyBorder="1" applyAlignment="1">
      <alignment wrapText="1"/>
    </xf>
    <xf numFmtId="0" fontId="76" fillId="3" borderId="6" xfId="1085" applyFont="1" applyFill="1" applyBorder="1" applyAlignment="1">
      <alignment horizontal="left" wrapText="1"/>
    </xf>
    <xf numFmtId="43" fontId="76" fillId="3" borderId="6" xfId="812" applyFont="1" applyFill="1" applyBorder="1" applyAlignment="1">
      <alignment horizontal="left" wrapText="1"/>
    </xf>
    <xf numFmtId="0" fontId="76" fillId="4" borderId="32" xfId="1494" applyFont="1" applyFill="1" applyBorder="1" applyAlignment="1">
      <alignment wrapText="1"/>
    </xf>
    <xf numFmtId="43" fontId="76" fillId="4" borderId="32" xfId="812" applyFont="1" applyFill="1" applyBorder="1" applyAlignment="1">
      <alignment wrapText="1"/>
    </xf>
    <xf numFmtId="0" fontId="76" fillId="4" borderId="32" xfId="1494" applyFont="1" applyFill="1" applyBorder="1" applyAlignment="1">
      <alignment horizontal="justify" wrapText="1"/>
    </xf>
    <xf numFmtId="43" fontId="76" fillId="4" borderId="32" xfId="812" applyFont="1" applyFill="1" applyBorder="1" applyAlignment="1">
      <alignment horizontal="justify" wrapText="1"/>
    </xf>
    <xf numFmtId="0" fontId="76" fillId="3" borderId="32" xfId="1494" applyFont="1" applyFill="1" applyBorder="1" applyAlignment="1">
      <alignment horizontal="justify" wrapText="1"/>
    </xf>
    <xf numFmtId="43" fontId="76" fillId="3" borderId="32" xfId="812" applyFont="1" applyFill="1" applyBorder="1" applyAlignment="1">
      <alignment horizontal="justify" wrapText="1"/>
    </xf>
    <xf numFmtId="0" fontId="92" fillId="4" borderId="70" xfId="1696" applyFill="1" applyBorder="1" applyAlignment="1">
      <alignment horizontal="center"/>
    </xf>
    <xf numFmtId="0" fontId="0" fillId="4" borderId="70" xfId="1696" applyFont="1" applyFill="1" applyBorder="1" applyAlignment="1">
      <alignment horizontal="center"/>
    </xf>
    <xf numFmtId="43" fontId="0" fillId="4" borderId="32" xfId="1085" applyNumberFormat="1" applyFont="1" applyFill="1" applyBorder="1"/>
    <xf numFmtId="0" fontId="0" fillId="4" borderId="70" xfId="1696" applyFont="1" applyFill="1" applyBorder="1" applyAlignment="1">
      <alignment horizontal="center" vertical="top"/>
    </xf>
    <xf numFmtId="0" fontId="0" fillId="4" borderId="32" xfId="1494" applyFont="1" applyFill="1" applyBorder="1" applyAlignment="1">
      <alignment vertical="top" wrapText="1"/>
    </xf>
    <xf numFmtId="43" fontId="0" fillId="4" borderId="32" xfId="812" applyFont="1" applyFill="1" applyBorder="1" applyAlignment="1">
      <alignment vertical="top" wrapText="1"/>
    </xf>
    <xf numFmtId="43" fontId="0" fillId="4" borderId="32" xfId="1085" applyNumberFormat="1" applyFont="1" applyFill="1" applyBorder="1" applyAlignment="1">
      <alignment vertical="center"/>
    </xf>
    <xf numFmtId="0" fontId="0" fillId="4" borderId="10" xfId="1085" applyFont="1" applyFill="1" applyBorder="1" applyAlignment="1">
      <alignment horizontal="center" vertical="center"/>
    </xf>
    <xf numFmtId="0" fontId="0" fillId="4" borderId="10" xfId="1085" applyFont="1" applyFill="1" applyBorder="1" applyAlignment="1">
      <alignment vertical="center"/>
    </xf>
    <xf numFmtId="43" fontId="0" fillId="4" borderId="10" xfId="812" applyFont="1" applyFill="1" applyBorder="1" applyAlignment="1">
      <alignment vertical="center"/>
    </xf>
    <xf numFmtId="43" fontId="0" fillId="4" borderId="10" xfId="1085" applyNumberFormat="1" applyFont="1" applyFill="1" applyBorder="1" applyAlignment="1">
      <alignment vertical="center"/>
    </xf>
    <xf numFmtId="43" fontId="78" fillId="4" borderId="3" xfId="1085" applyNumberFormat="1" applyFont="1" applyFill="1" applyBorder="1" applyAlignment="1">
      <alignment horizontal="center" vertical="center"/>
    </xf>
    <xf numFmtId="0" fontId="77" fillId="4" borderId="85" xfId="1696" applyFont="1" applyFill="1" applyBorder="1" applyAlignment="1">
      <alignment horizontal="center" vertical="top"/>
    </xf>
    <xf numFmtId="0" fontId="77" fillId="4" borderId="33" xfId="1494" applyFont="1" applyFill="1" applyBorder="1" applyAlignment="1">
      <alignment horizontal="left" vertical="top"/>
    </xf>
    <xf numFmtId="43" fontId="77" fillId="4" borderId="33" xfId="812" applyFont="1" applyFill="1" applyBorder="1" applyAlignment="1">
      <alignment horizontal="left" vertical="top"/>
    </xf>
    <xf numFmtId="43" fontId="0" fillId="4" borderId="33" xfId="1085" applyNumberFormat="1" applyFont="1" applyFill="1" applyBorder="1" applyAlignment="1">
      <alignment vertical="center"/>
    </xf>
    <xf numFmtId="0" fontId="77" fillId="4" borderId="32" xfId="1696" applyFont="1" applyFill="1" applyBorder="1" applyAlignment="1">
      <alignment horizontal="center" vertical="top"/>
    </xf>
    <xf numFmtId="0" fontId="77" fillId="4" borderId="32" xfId="1494" applyFont="1" applyFill="1" applyBorder="1" applyAlignment="1">
      <alignment horizontal="left" vertical="top"/>
    </xf>
    <xf numFmtId="43" fontId="77" fillId="4" borderId="32" xfId="812" applyFont="1" applyFill="1" applyBorder="1" applyAlignment="1">
      <alignment horizontal="left" vertical="top"/>
    </xf>
    <xf numFmtId="0" fontId="79" fillId="4" borderId="34" xfId="1696" applyFont="1" applyFill="1" applyBorder="1" applyAlignment="1">
      <alignment horizontal="center" vertical="top"/>
    </xf>
    <xf numFmtId="0" fontId="79" fillId="4" borderId="34" xfId="1494" applyFont="1" applyFill="1" applyBorder="1" applyAlignment="1">
      <alignment horizontal="left" vertical="top"/>
    </xf>
    <xf numFmtId="43" fontId="79" fillId="4" borderId="34" xfId="812" applyFont="1" applyFill="1" applyBorder="1" applyAlignment="1">
      <alignment horizontal="left" vertical="top"/>
    </xf>
    <xf numFmtId="43" fontId="0" fillId="4" borderId="34" xfId="1085" applyNumberFormat="1" applyFont="1" applyFill="1" applyBorder="1" applyAlignment="1">
      <alignment vertical="center"/>
    </xf>
    <xf numFmtId="0" fontId="72" fillId="0" borderId="10" xfId="1085" applyFont="1" applyBorder="1"/>
    <xf numFmtId="0" fontId="72" fillId="0" borderId="10" xfId="1085" applyFont="1" applyBorder="1" applyAlignment="1">
      <alignment horizontal="center"/>
    </xf>
    <xf numFmtId="0" fontId="21" fillId="0" borderId="0" xfId="1085" applyFont="1"/>
    <xf numFmtId="43" fontId="92" fillId="0" borderId="0" xfId="1085" applyNumberFormat="1"/>
    <xf numFmtId="43" fontId="21" fillId="0" borderId="0" xfId="812" applyFont="1"/>
    <xf numFmtId="0" fontId="80" fillId="0" borderId="0" xfId="1085" applyFont="1"/>
    <xf numFmtId="0" fontId="5" fillId="16" borderId="1" xfId="1085" applyFont="1" applyFill="1" applyBorder="1" applyAlignment="1">
      <alignment horizontal="center" vertical="center" wrapText="1"/>
    </xf>
    <xf numFmtId="43" fontId="0" fillId="4" borderId="0" xfId="812" applyFont="1" applyFill="1"/>
    <xf numFmtId="43" fontId="21" fillId="4" borderId="0" xfId="812" applyFont="1" applyFill="1" applyAlignment="1">
      <alignment horizontal="center" vertical="center"/>
    </xf>
    <xf numFmtId="43" fontId="4" fillId="4" borderId="0" xfId="812" applyFont="1" applyFill="1"/>
    <xf numFmtId="0" fontId="81" fillId="4" borderId="0" xfId="1085" applyFont="1" applyFill="1"/>
    <xf numFmtId="43" fontId="4" fillId="0" borderId="0" xfId="812" applyFont="1"/>
    <xf numFmtId="0" fontId="81" fillId="0" borderId="0" xfId="1085" applyFont="1"/>
    <xf numFmtId="43" fontId="21" fillId="4" borderId="0" xfId="812" applyFont="1" applyFill="1"/>
    <xf numFmtId="43" fontId="92" fillId="4" borderId="0" xfId="1085" applyNumberFormat="1" applyFill="1"/>
    <xf numFmtId="43" fontId="76" fillId="4" borderId="32" xfId="1085" applyNumberFormat="1" applyFont="1" applyFill="1" applyBorder="1" applyAlignment="1">
      <alignment horizontal="center" wrapText="1"/>
    </xf>
    <xf numFmtId="43" fontId="82" fillId="0" borderId="0" xfId="812" applyFont="1"/>
    <xf numFmtId="43" fontId="83" fillId="0" borderId="0" xfId="812" applyFont="1"/>
    <xf numFmtId="43" fontId="78" fillId="4" borderId="0" xfId="812" applyFont="1" applyFill="1" applyAlignment="1">
      <alignment horizontal="center" vertical="center"/>
    </xf>
    <xf numFmtId="43" fontId="84" fillId="4" borderId="33" xfId="1085" applyNumberFormat="1" applyFont="1" applyFill="1" applyBorder="1" applyAlignment="1">
      <alignment vertical="center"/>
    </xf>
    <xf numFmtId="43" fontId="84" fillId="4" borderId="32" xfId="1085" applyNumberFormat="1" applyFont="1" applyFill="1" applyBorder="1" applyAlignment="1">
      <alignment vertical="center"/>
    </xf>
    <xf numFmtId="43" fontId="85" fillId="4" borderId="34" xfId="1085" applyNumberFormat="1" applyFont="1" applyFill="1" applyBorder="1" applyAlignment="1">
      <alignment vertical="center"/>
    </xf>
    <xf numFmtId="43" fontId="86" fillId="4" borderId="125" xfId="1085" applyNumberFormat="1" applyFont="1" applyFill="1" applyBorder="1" applyAlignment="1">
      <alignment horizontal="center" vertical="center"/>
    </xf>
    <xf numFmtId="43" fontId="72" fillId="0" borderId="10" xfId="1085" applyNumberFormat="1" applyFont="1" applyBorder="1"/>
    <xf numFmtId="43" fontId="72" fillId="4" borderId="0" xfId="812" applyFont="1" applyFill="1"/>
    <xf numFmtId="43" fontId="72" fillId="0" borderId="0" xfId="812" applyFont="1"/>
    <xf numFmtId="43" fontId="4" fillId="0" borderId="0" xfId="1085" applyNumberFormat="1" applyFont="1"/>
    <xf numFmtId="0" fontId="22" fillId="0" borderId="0" xfId="1069" applyFont="1"/>
    <xf numFmtId="0" fontId="76" fillId="0" borderId="0" xfId="1069" applyFont="1"/>
    <xf numFmtId="0" fontId="11" fillId="5" borderId="1" xfId="1069" applyFont="1" applyFill="1" applyBorder="1" applyAlignment="1">
      <alignment horizontal="center"/>
    </xf>
    <xf numFmtId="0" fontId="11" fillId="3" borderId="126" xfId="1069" applyFont="1" applyFill="1" applyBorder="1" applyAlignment="1">
      <alignment horizontal="center"/>
    </xf>
    <xf numFmtId="0" fontId="11" fillId="0" borderId="31" xfId="1069" applyFont="1" applyBorder="1" applyAlignment="1">
      <alignment horizontal="center"/>
    </xf>
    <xf numFmtId="165" fontId="11" fillId="0" borderId="31" xfId="1069" applyNumberFormat="1" applyFont="1" applyBorder="1" applyAlignment="1">
      <alignment horizontal="left"/>
    </xf>
    <xf numFmtId="0" fontId="11" fillId="0" borderId="31" xfId="1069" applyFont="1" applyBorder="1"/>
    <xf numFmtId="43" fontId="11" fillId="0" borderId="31" xfId="1069" applyNumberFormat="1" applyFont="1" applyBorder="1"/>
    <xf numFmtId="0" fontId="11" fillId="0" borderId="32" xfId="1069" applyFont="1" applyBorder="1" applyAlignment="1">
      <alignment horizontal="center" vertical="top"/>
    </xf>
    <xf numFmtId="165" fontId="11" fillId="0" borderId="31" xfId="1069" applyNumberFormat="1" applyFont="1" applyBorder="1" applyAlignment="1">
      <alignment horizontal="center" vertical="top"/>
    </xf>
    <xf numFmtId="0" fontId="11" fillId="0" borderId="32" xfId="1069" applyFont="1" applyBorder="1" applyAlignment="1">
      <alignment wrapText="1"/>
    </xf>
    <xf numFmtId="43" fontId="11" fillId="0" borderId="32" xfId="1069" applyNumberFormat="1" applyFont="1" applyBorder="1"/>
    <xf numFmtId="43" fontId="11" fillId="4" borderId="31" xfId="1069" applyNumberFormat="1" applyFont="1" applyFill="1" applyBorder="1"/>
    <xf numFmtId="0" fontId="11" fillId="0" borderId="32" xfId="1069" applyFont="1" applyBorder="1" applyAlignment="1">
      <alignment horizontal="center"/>
    </xf>
    <xf numFmtId="165" fontId="11" fillId="0" borderId="31" xfId="1069" applyNumberFormat="1" applyFont="1" applyBorder="1" applyAlignment="1">
      <alignment horizontal="center"/>
    </xf>
    <xf numFmtId="0" fontId="11" fillId="0" borderId="32" xfId="1069" applyFont="1" applyBorder="1"/>
    <xf numFmtId="43" fontId="11" fillId="4" borderId="32" xfId="1069" applyNumberFormat="1" applyFont="1" applyFill="1" applyBorder="1"/>
    <xf numFmtId="0" fontId="11" fillId="0" borderId="33" xfId="1069" applyFont="1" applyBorder="1" applyAlignment="1">
      <alignment horizontal="center"/>
    </xf>
    <xf numFmtId="0" fontId="11" fillId="0" borderId="33" xfId="1069" applyFont="1" applyBorder="1" applyAlignment="1">
      <alignment horizontal="center" vertical="top"/>
    </xf>
    <xf numFmtId="43" fontId="11" fillId="3" borderId="32" xfId="1069" applyNumberFormat="1" applyFont="1" applyFill="1" applyBorder="1"/>
    <xf numFmtId="165" fontId="11" fillId="0" borderId="32" xfId="1069" applyNumberFormat="1" applyFont="1" applyBorder="1" applyAlignment="1">
      <alignment horizontal="center" vertical="top"/>
    </xf>
    <xf numFmtId="165" fontId="11" fillId="0" borderId="32" xfId="1069" applyNumberFormat="1" applyFont="1" applyBorder="1" applyAlignment="1">
      <alignment horizontal="center"/>
    </xf>
    <xf numFmtId="0" fontId="11" fillId="0" borderId="10" xfId="1069" applyFont="1" applyBorder="1" applyAlignment="1">
      <alignment horizontal="center"/>
    </xf>
    <xf numFmtId="165" fontId="11" fillId="0" borderId="6" xfId="1069" applyNumberFormat="1" applyFont="1" applyBorder="1" applyAlignment="1">
      <alignment horizontal="center"/>
    </xf>
    <xf numFmtId="0" fontId="11" fillId="0" borderId="6" xfId="1069" applyFont="1" applyBorder="1"/>
    <xf numFmtId="43" fontId="11" fillId="0" borderId="6" xfId="1069" applyNumberFormat="1" applyFont="1" applyBorder="1"/>
    <xf numFmtId="43" fontId="11" fillId="4" borderId="6" xfId="1069" applyNumberFormat="1" applyFont="1" applyFill="1" applyBorder="1"/>
    <xf numFmtId="0" fontId="11" fillId="0" borderId="1" xfId="1069" applyFont="1" applyBorder="1" applyAlignment="1">
      <alignment horizontal="center"/>
    </xf>
    <xf numFmtId="43" fontId="14" fillId="0" borderId="1" xfId="1069" applyNumberFormat="1" applyFont="1" applyBorder="1"/>
    <xf numFmtId="43" fontId="14" fillId="4" borderId="1" xfId="1069" applyNumberFormat="1" applyFont="1" applyFill="1" applyBorder="1"/>
    <xf numFmtId="0" fontId="17" fillId="5" borderId="105" xfId="1069" applyFont="1" applyFill="1" applyBorder="1" applyAlignment="1">
      <alignment horizontal="center"/>
    </xf>
    <xf numFmtId="0" fontId="17" fillId="5" borderId="1" xfId="1069" applyFont="1" applyFill="1" applyBorder="1" applyAlignment="1">
      <alignment horizontal="center"/>
    </xf>
    <xf numFmtId="0" fontId="14" fillId="0" borderId="73" xfId="1069" applyFont="1" applyBorder="1" applyAlignment="1">
      <alignment horizontal="center"/>
    </xf>
    <xf numFmtId="0" fontId="14" fillId="0" borderId="31" xfId="1069" applyFont="1" applyBorder="1"/>
    <xf numFmtId="43" fontId="14" fillId="0" borderId="31" xfId="1069" applyNumberFormat="1" applyFont="1" applyBorder="1"/>
    <xf numFmtId="0" fontId="11" fillId="0" borderId="72" xfId="1069" applyFont="1" applyBorder="1" applyAlignment="1">
      <alignment horizontal="center"/>
    </xf>
    <xf numFmtId="43" fontId="11" fillId="0" borderId="33" xfId="1069" applyNumberFormat="1" applyFont="1" applyBorder="1" applyAlignment="1">
      <alignment vertical="center"/>
    </xf>
    <xf numFmtId="43" fontId="11" fillId="0" borderId="33" xfId="1069" applyNumberFormat="1" applyFont="1" applyBorder="1" applyAlignment="1"/>
    <xf numFmtId="43" fontId="11" fillId="0" borderId="31" xfId="1069" applyNumberFormat="1" applyFont="1" applyBorder="1" applyAlignment="1">
      <alignment vertical="center"/>
    </xf>
    <xf numFmtId="43" fontId="11" fillId="0" borderId="6" xfId="1069" applyNumberFormat="1" applyFont="1" applyBorder="1" applyAlignment="1"/>
    <xf numFmtId="43" fontId="11" fillId="0" borderId="31" xfId="1069" applyNumberFormat="1" applyFont="1" applyBorder="1" applyAlignment="1">
      <alignment horizontal="center"/>
    </xf>
    <xf numFmtId="0" fontId="14" fillId="0" borderId="72" xfId="1069" applyFont="1" applyBorder="1" applyAlignment="1">
      <alignment horizontal="center"/>
    </xf>
    <xf numFmtId="0" fontId="14" fillId="0" borderId="32" xfId="1069" applyFont="1" applyBorder="1"/>
    <xf numFmtId="43" fontId="14" fillId="0" borderId="32" xfId="1069" applyNumberFormat="1" applyFont="1" applyBorder="1"/>
    <xf numFmtId="43" fontId="11" fillId="0" borderId="31" xfId="1069" applyNumberFormat="1" applyFont="1" applyBorder="1" applyAlignment="1">
      <alignment horizontal="center" vertical="center"/>
    </xf>
    <xf numFmtId="0" fontId="11" fillId="0" borderId="7" xfId="1069" applyFont="1" applyBorder="1" applyAlignment="1">
      <alignment horizontal="center"/>
    </xf>
    <xf numFmtId="0" fontId="14" fillId="0" borderId="9" xfId="1069" applyFont="1" applyBorder="1" applyAlignment="1"/>
    <xf numFmtId="43" fontId="14" fillId="0" borderId="9" xfId="1069" applyNumberFormat="1" applyFont="1" applyBorder="1" applyAlignment="1"/>
    <xf numFmtId="0" fontId="11" fillId="0" borderId="19" xfId="1069" applyFont="1" applyBorder="1" applyAlignment="1">
      <alignment horizontal="center"/>
    </xf>
    <xf numFmtId="0" fontId="11" fillId="0" borderId="127" xfId="1069" applyFont="1" applyBorder="1" applyAlignment="1">
      <alignment horizontal="center"/>
    </xf>
    <xf numFmtId="0" fontId="11" fillId="0" borderId="33" xfId="1069" applyFont="1" applyBorder="1"/>
    <xf numFmtId="43" fontId="11" fillId="0" borderId="33" xfId="1069" applyNumberFormat="1" applyFont="1" applyBorder="1"/>
    <xf numFmtId="43" fontId="11" fillId="0" borderId="32" xfId="1069" applyNumberFormat="1" applyFont="1" applyBorder="1" applyAlignment="1"/>
    <xf numFmtId="43" fontId="14" fillId="0" borderId="33" xfId="1069" applyNumberFormat="1" applyFont="1" applyBorder="1"/>
    <xf numFmtId="43" fontId="14" fillId="0" borderId="6" xfId="1069" applyNumberFormat="1" applyFont="1" applyBorder="1"/>
    <xf numFmtId="0" fontId="14" fillId="0" borderId="7" xfId="1069" applyFont="1" applyBorder="1" applyAlignment="1">
      <alignment horizontal="center"/>
    </xf>
    <xf numFmtId="0" fontId="11" fillId="0" borderId="9" xfId="1069" applyFont="1" applyBorder="1"/>
    <xf numFmtId="43" fontId="14" fillId="0" borderId="9" xfId="1069" applyNumberFormat="1" applyFont="1" applyBorder="1"/>
    <xf numFmtId="0" fontId="11" fillId="0" borderId="117" xfId="1069" applyFont="1" applyBorder="1" applyAlignment="1">
      <alignment horizontal="center"/>
    </xf>
    <xf numFmtId="0" fontId="14" fillId="0" borderId="102" xfId="1069" applyFont="1" applyBorder="1" applyAlignment="1">
      <alignment horizontal="center"/>
    </xf>
    <xf numFmtId="0" fontId="14" fillId="0" borderId="24" xfId="1069" applyFont="1" applyBorder="1" applyAlignment="1">
      <alignment horizontal="center"/>
    </xf>
    <xf numFmtId="43" fontId="14" fillId="0" borderId="24" xfId="1069" applyNumberFormat="1" applyFont="1" applyBorder="1"/>
    <xf numFmtId="0" fontId="17" fillId="5" borderId="15" xfId="1069" applyFont="1" applyFill="1" applyBorder="1" applyAlignment="1">
      <alignment horizontal="center"/>
    </xf>
    <xf numFmtId="43" fontId="11" fillId="0" borderId="83" xfId="1069" applyNumberFormat="1" applyFont="1" applyBorder="1"/>
    <xf numFmtId="43" fontId="14" fillId="0" borderId="83" xfId="1069" applyNumberFormat="1" applyFont="1" applyBorder="1"/>
    <xf numFmtId="43" fontId="11" fillId="0" borderId="112" xfId="1069" applyNumberFormat="1" applyFont="1" applyBorder="1"/>
    <xf numFmtId="43" fontId="11" fillId="0" borderId="18" xfId="1069" applyNumberFormat="1" applyFont="1" applyBorder="1"/>
    <xf numFmtId="43" fontId="11" fillId="0" borderId="84" xfId="1069" applyNumberFormat="1" applyFont="1" applyBorder="1"/>
    <xf numFmtId="43" fontId="14" fillId="0" borderId="25" xfId="1069" applyNumberFormat="1" applyFont="1" applyBorder="1"/>
    <xf numFmtId="0" fontId="0" fillId="5" borderId="0" xfId="1197" applyFont="1" applyFill="1"/>
    <xf numFmtId="0" fontId="0" fillId="3" borderId="0" xfId="1197" applyFont="1" applyFill="1"/>
    <xf numFmtId="0" fontId="0" fillId="4" borderId="0" xfId="1197" applyFont="1" applyFill="1"/>
    <xf numFmtId="0" fontId="17" fillId="3" borderId="0" xfId="1197" applyFont="1" applyFill="1"/>
    <xf numFmtId="0" fontId="19" fillId="5" borderId="130" xfId="1197" applyFont="1" applyFill="1" applyBorder="1" applyAlignment="1">
      <alignment horizontal="center" vertical="center"/>
    </xf>
    <xf numFmtId="0" fontId="17" fillId="3" borderId="131" xfId="1197" applyFont="1" applyFill="1" applyBorder="1" applyAlignment="1">
      <alignment horizontal="center" vertical="center"/>
    </xf>
    <xf numFmtId="0" fontId="17" fillId="3" borderId="131" xfId="1197" applyFont="1" applyFill="1" applyBorder="1"/>
    <xf numFmtId="0" fontId="19" fillId="3" borderId="132" xfId="1197" applyFont="1" applyFill="1" applyBorder="1" applyAlignment="1">
      <alignment horizontal="center" vertical="center" wrapText="1"/>
    </xf>
    <xf numFmtId="0" fontId="19" fillId="3" borderId="132" xfId="1197" applyFont="1" applyFill="1" applyBorder="1" applyAlignment="1">
      <alignment wrapText="1"/>
    </xf>
    <xf numFmtId="43" fontId="19" fillId="3" borderId="132" xfId="1197" applyNumberFormat="1" applyFont="1" applyFill="1" applyBorder="1" applyAlignment="1">
      <alignment vertical="center" wrapText="1"/>
    </xf>
    <xf numFmtId="0" fontId="17" fillId="3" borderId="132" xfId="1197" applyFont="1" applyFill="1" applyBorder="1" applyAlignment="1">
      <alignment horizontal="center" vertical="center"/>
    </xf>
    <xf numFmtId="0" fontId="17" fillId="3" borderId="132" xfId="1197" applyFont="1" applyFill="1" applyBorder="1"/>
    <xf numFmtId="0" fontId="19" fillId="3" borderId="133" xfId="1197" applyFont="1" applyFill="1" applyBorder="1" applyAlignment="1">
      <alignment horizontal="center" vertical="center" wrapText="1"/>
    </xf>
    <xf numFmtId="0" fontId="19" fillId="3" borderId="133" xfId="1197" applyFont="1" applyFill="1" applyBorder="1" applyAlignment="1">
      <alignment vertical="center" wrapText="1"/>
    </xf>
    <xf numFmtId="0" fontId="19" fillId="3" borderId="133" xfId="1197" applyFont="1" applyFill="1" applyBorder="1" applyAlignment="1">
      <alignment horizontal="center" wrapText="1"/>
    </xf>
    <xf numFmtId="182" fontId="19" fillId="3" borderId="133" xfId="84" applyNumberFormat="1" applyFont="1" applyFill="1" applyBorder="1" applyAlignment="1">
      <alignment vertical="center" wrapText="1"/>
    </xf>
    <xf numFmtId="0" fontId="19" fillId="3" borderId="133" xfId="1197" applyFont="1" applyFill="1" applyBorder="1" applyAlignment="1">
      <alignment wrapText="1"/>
    </xf>
    <xf numFmtId="0" fontId="17" fillId="3" borderId="133" xfId="1197" applyFont="1" applyFill="1" applyBorder="1" applyAlignment="1">
      <alignment horizontal="center" vertical="center" wrapText="1"/>
    </xf>
    <xf numFmtId="0" fontId="17" fillId="3" borderId="133" xfId="1197" applyFont="1" applyFill="1" applyBorder="1" applyAlignment="1">
      <alignment wrapText="1"/>
    </xf>
    <xf numFmtId="182" fontId="17" fillId="3" borderId="133" xfId="84" applyNumberFormat="1" applyFont="1" applyFill="1" applyBorder="1" applyAlignment="1">
      <alignment wrapText="1"/>
    </xf>
    <xf numFmtId="0" fontId="17" fillId="3" borderId="133" xfId="1197" applyFont="1" applyFill="1" applyBorder="1" applyAlignment="1">
      <alignment horizontal="center" wrapText="1"/>
    </xf>
    <xf numFmtId="182" fontId="17" fillId="3" borderId="133" xfId="84" applyNumberFormat="1" applyFont="1" applyFill="1" applyBorder="1" applyAlignment="1">
      <alignment vertical="center" wrapText="1"/>
    </xf>
    <xf numFmtId="0" fontId="17" fillId="3" borderId="133" xfId="1197" applyFont="1" applyFill="1" applyBorder="1" applyAlignment="1">
      <alignment horizontal="center"/>
    </xf>
    <xf numFmtId="0" fontId="17" fillId="3" borderId="133" xfId="1197" applyFont="1" applyFill="1" applyBorder="1" applyAlignment="1">
      <alignment horizontal="center" vertical="center"/>
    </xf>
    <xf numFmtId="182" fontId="19" fillId="3" borderId="133" xfId="84" applyNumberFormat="1" applyFont="1" applyFill="1" applyBorder="1" applyAlignment="1">
      <alignment wrapText="1"/>
    </xf>
    <xf numFmtId="0" fontId="17" fillId="3" borderId="134" xfId="1197" applyFont="1" applyFill="1" applyBorder="1" applyAlignment="1">
      <alignment horizontal="center" vertical="center" wrapText="1"/>
    </xf>
    <xf numFmtId="0" fontId="17" fillId="3" borderId="134" xfId="1197" applyFont="1" applyFill="1" applyBorder="1" applyAlignment="1">
      <alignment wrapText="1"/>
    </xf>
    <xf numFmtId="0" fontId="17" fillId="3" borderId="134" xfId="1197" applyFont="1" applyFill="1" applyBorder="1" applyAlignment="1">
      <alignment horizontal="center" wrapText="1"/>
    </xf>
    <xf numFmtId="182" fontId="17" fillId="3" borderId="134" xfId="84" applyNumberFormat="1" applyFont="1" applyFill="1" applyBorder="1" applyAlignment="1">
      <alignment wrapText="1"/>
    </xf>
    <xf numFmtId="43" fontId="11" fillId="3" borderId="0" xfId="1197" applyNumberFormat="1" applyFont="1" applyFill="1"/>
    <xf numFmtId="182" fontId="17" fillId="3" borderId="0" xfId="1197" applyNumberFormat="1" applyFont="1" applyFill="1"/>
    <xf numFmtId="182" fontId="11" fillId="3" borderId="0" xfId="1197" applyNumberFormat="1" applyFont="1" applyFill="1"/>
    <xf numFmtId="0" fontId="0" fillId="4" borderId="0" xfId="1197" applyFont="1" applyFill="1" applyAlignment="1">
      <alignment horizontal="center"/>
    </xf>
    <xf numFmtId="43" fontId="17" fillId="3" borderId="0" xfId="1197" applyNumberFormat="1" applyFont="1" applyFill="1"/>
    <xf numFmtId="43" fontId="0" fillId="4" borderId="0" xfId="1197" applyNumberFormat="1" applyFont="1" applyFill="1"/>
    <xf numFmtId="182" fontId="0" fillId="4" borderId="0" xfId="84" applyNumberFormat="1" applyFont="1" applyFill="1"/>
    <xf numFmtId="182" fontId="0" fillId="4" borderId="0" xfId="1197" applyNumberFormat="1" applyFont="1" applyFill="1"/>
    <xf numFmtId="182" fontId="0" fillId="3" borderId="0" xfId="1197" applyNumberFormat="1" applyFont="1" applyFill="1"/>
    <xf numFmtId="43" fontId="0" fillId="3" borderId="0" xfId="1197" applyNumberFormat="1" applyFont="1" applyFill="1"/>
    <xf numFmtId="41" fontId="0" fillId="3" borderId="0" xfId="84" applyFont="1" applyFill="1"/>
    <xf numFmtId="0" fontId="11" fillId="0" borderId="72" xfId="1069" quotePrefix="1" applyFont="1" applyBorder="1" applyAlignment="1">
      <alignment horizontal="center"/>
    </xf>
    <xf numFmtId="0" fontId="28" fillId="3" borderId="1" xfId="1069" quotePrefix="1" applyFont="1" applyFill="1" applyBorder="1" applyAlignment="1">
      <alignment horizontal="center" vertical="top" wrapText="1"/>
    </xf>
    <xf numFmtId="166" fontId="28" fillId="3" borderId="1" xfId="1069" quotePrefix="1" applyNumberFormat="1" applyFont="1" applyFill="1" applyBorder="1" applyAlignment="1">
      <alignment horizontal="center" vertical="top" wrapText="1"/>
    </xf>
    <xf numFmtId="17" fontId="28" fillId="3" borderId="1" xfId="1069" quotePrefix="1" applyNumberFormat="1" applyFont="1" applyFill="1" applyBorder="1" applyAlignment="1">
      <alignment horizontal="center" vertical="top" wrapText="1"/>
    </xf>
    <xf numFmtId="0" fontId="44" fillId="3" borderId="105" xfId="0" quotePrefix="1" applyFont="1" applyFill="1" applyBorder="1" applyAlignment="1">
      <alignment horizontal="center" vertical="center"/>
    </xf>
    <xf numFmtId="15" fontId="44" fillId="3" borderId="1" xfId="0" quotePrefix="1" applyNumberFormat="1" applyFont="1" applyFill="1" applyBorder="1" applyAlignment="1">
      <alignment horizontal="left" vertical="center" wrapText="1"/>
    </xf>
    <xf numFmtId="41" fontId="44" fillId="3" borderId="1" xfId="6" quotePrefix="1" applyFont="1" applyFill="1" applyBorder="1" applyAlignment="1">
      <alignment horizontal="left" vertical="top" wrapText="1"/>
    </xf>
    <xf numFmtId="15" fontId="44" fillId="3" borderId="1" xfId="0" quotePrefix="1" applyNumberFormat="1" applyFont="1" applyFill="1" applyBorder="1" applyAlignment="1">
      <alignment horizontal="left" vertical="top" wrapText="1"/>
    </xf>
    <xf numFmtId="15" fontId="44" fillId="3" borderId="24" xfId="0" quotePrefix="1" applyNumberFormat="1" applyFont="1" applyFill="1" applyBorder="1" applyAlignment="1">
      <alignment horizontal="left" vertical="top" wrapText="1"/>
    </xf>
    <xf numFmtId="41" fontId="17" fillId="0" borderId="84" xfId="84" quotePrefix="1" applyNumberFormat="1" applyFont="1" applyBorder="1" applyAlignment="1">
      <alignment horizontal="center" vertical="center"/>
    </xf>
    <xf numFmtId="41" fontId="17" fillId="0" borderId="84" xfId="84" quotePrefix="1" applyNumberFormat="1" applyFont="1" applyBorder="1" applyAlignment="1">
      <alignment horizontal="center"/>
    </xf>
    <xf numFmtId="41" fontId="32" fillId="0" borderId="84" xfId="84" quotePrefix="1" applyNumberFormat="1" applyFont="1" applyBorder="1" applyAlignment="1">
      <alignment horizontal="center"/>
    </xf>
    <xf numFmtId="0" fontId="11" fillId="3" borderId="2" xfId="1100" quotePrefix="1" applyFont="1" applyFill="1" applyBorder="1" applyAlignment="1">
      <alignment vertical="center" wrapText="1"/>
    </xf>
    <xf numFmtId="0" fontId="11" fillId="3" borderId="4" xfId="1100" quotePrefix="1" applyFont="1" applyFill="1" applyBorder="1" applyAlignment="1">
      <alignment vertical="center" wrapText="1"/>
    </xf>
    <xf numFmtId="0" fontId="11" fillId="3" borderId="27" xfId="1100" quotePrefix="1" applyFont="1" applyFill="1" applyBorder="1" applyAlignment="1">
      <alignment vertical="center" wrapText="1"/>
    </xf>
    <xf numFmtId="0" fontId="14" fillId="5" borderId="44" xfId="1069" quotePrefix="1" applyNumberFormat="1" applyFont="1" applyFill="1" applyBorder="1" applyAlignment="1" applyProtection="1">
      <alignment horizontal="center" vertical="center" wrapText="1"/>
    </xf>
    <xf numFmtId="0" fontId="95" fillId="4" borderId="0" xfId="1700" applyFont="1" applyFill="1">
      <alignment vertical="top"/>
    </xf>
    <xf numFmtId="0" fontId="96" fillId="4" borderId="136" xfId="1700" applyFont="1" applyFill="1" applyBorder="1" applyAlignment="1">
      <alignment horizontal="center" vertical="center"/>
    </xf>
    <xf numFmtId="43" fontId="96" fillId="4" borderId="136" xfId="1701" applyFont="1" applyFill="1" applyBorder="1" applyAlignment="1">
      <alignment horizontal="center" vertical="center"/>
    </xf>
    <xf numFmtId="0" fontId="96" fillId="4" borderId="10" xfId="1700" applyFont="1" applyFill="1" applyBorder="1" applyAlignment="1">
      <alignment horizontal="left" vertical="center"/>
    </xf>
    <xf numFmtId="1" fontId="95" fillId="4" borderId="136" xfId="1700" applyNumberFormat="1" applyFont="1" applyFill="1" applyBorder="1" applyAlignment="1">
      <alignment horizontal="center" vertical="top"/>
    </xf>
    <xf numFmtId="191" fontId="95" fillId="4" borderId="136" xfId="1700" applyNumberFormat="1" applyFont="1" applyFill="1" applyBorder="1" applyAlignment="1">
      <alignment horizontal="left" vertical="top"/>
    </xf>
    <xf numFmtId="0" fontId="95" fillId="4" borderId="136" xfId="1700" applyFont="1" applyFill="1" applyBorder="1" applyAlignment="1">
      <alignment vertical="top" wrapText="1" readingOrder="1"/>
    </xf>
    <xf numFmtId="0" fontId="95" fillId="4" borderId="136" xfId="1700" applyFont="1" applyFill="1" applyBorder="1" applyAlignment="1">
      <alignment vertical="top" wrapText="1"/>
    </xf>
    <xf numFmtId="43" fontId="95" fillId="18" borderId="136" xfId="1701" applyFont="1" applyFill="1" applyBorder="1" applyAlignment="1">
      <alignment horizontal="right" vertical="top"/>
    </xf>
    <xf numFmtId="0" fontId="95" fillId="4" borderId="136" xfId="1700" applyFont="1" applyFill="1" applyBorder="1">
      <alignment vertical="top"/>
    </xf>
    <xf numFmtId="164" fontId="97" fillId="18" borderId="136" xfId="1702" applyNumberFormat="1" applyFont="1" applyFill="1" applyBorder="1"/>
    <xf numFmtId="182" fontId="95" fillId="4" borderId="0" xfId="1703" applyNumberFormat="1" applyFont="1" applyFill="1" applyAlignment="1">
      <alignment vertical="top"/>
    </xf>
    <xf numFmtId="43" fontId="95" fillId="6" borderId="136" xfId="1701" applyFont="1" applyFill="1" applyBorder="1" applyAlignment="1">
      <alignment horizontal="right" vertical="top"/>
    </xf>
    <xf numFmtId="39" fontId="95" fillId="6" borderId="136" xfId="1700" applyNumberFormat="1" applyFont="1" applyFill="1" applyBorder="1" applyAlignment="1">
      <alignment vertical="top"/>
    </xf>
    <xf numFmtId="43" fontId="95" fillId="4" borderId="136" xfId="1701" applyFont="1" applyFill="1" applyBorder="1" applyAlignment="1">
      <alignment horizontal="right" vertical="top"/>
    </xf>
    <xf numFmtId="39" fontId="95" fillId="4" borderId="136" xfId="1700" applyNumberFormat="1" applyFont="1" applyFill="1" applyBorder="1" applyAlignment="1">
      <alignment vertical="top"/>
    </xf>
    <xf numFmtId="0" fontId="95" fillId="4" borderId="140" xfId="1700" applyFont="1" applyFill="1" applyBorder="1" applyAlignment="1">
      <alignment vertical="top" wrapText="1"/>
    </xf>
    <xf numFmtId="43" fontId="96" fillId="6" borderId="140" xfId="1701" applyFont="1" applyFill="1" applyBorder="1" applyAlignment="1">
      <alignment horizontal="right" vertical="top"/>
    </xf>
    <xf numFmtId="0" fontId="96" fillId="4" borderId="10" xfId="1700" applyFont="1" applyFill="1" applyBorder="1" applyAlignment="1">
      <alignment vertical="top" wrapText="1" readingOrder="1"/>
    </xf>
    <xf numFmtId="0" fontId="96" fillId="4" borderId="140" xfId="1700" applyFont="1" applyFill="1" applyBorder="1" applyAlignment="1">
      <alignment vertical="top" wrapText="1"/>
    </xf>
    <xf numFmtId="43" fontId="96" fillId="18" borderId="140" xfId="1701" applyFont="1" applyFill="1" applyBorder="1" applyAlignment="1">
      <alignment horizontal="right" vertical="top"/>
    </xf>
    <xf numFmtId="0" fontId="96" fillId="4" borderId="0" xfId="1700" applyFont="1" applyFill="1">
      <alignment vertical="top"/>
    </xf>
    <xf numFmtId="182" fontId="96" fillId="4" borderId="0" xfId="1703" applyNumberFormat="1" applyFont="1" applyFill="1" applyAlignment="1">
      <alignment vertical="top"/>
    </xf>
    <xf numFmtId="0" fontId="96" fillId="4" borderId="10" xfId="1700" applyFont="1" applyFill="1" applyBorder="1" applyAlignment="1">
      <alignment horizontal="left" vertical="top" wrapText="1"/>
    </xf>
    <xf numFmtId="0" fontId="96" fillId="4" borderId="140" xfId="1700" applyFont="1" applyFill="1" applyBorder="1">
      <alignment vertical="top"/>
    </xf>
    <xf numFmtId="43" fontId="96" fillId="18" borderId="140" xfId="1701" applyFont="1" applyFill="1" applyBorder="1">
      <alignment vertical="top"/>
    </xf>
    <xf numFmtId="43" fontId="96" fillId="4" borderId="140" xfId="1701" applyFont="1" applyFill="1" applyBorder="1" applyAlignment="1">
      <alignment vertical="top" wrapText="1" readingOrder="1"/>
    </xf>
    <xf numFmtId="0" fontId="95" fillId="4" borderId="0" xfId="1700" applyFont="1" applyFill="1" applyAlignment="1">
      <alignment horizontal="center" vertical="top"/>
    </xf>
    <xf numFmtId="43" fontId="95" fillId="4" borderId="0" xfId="1701" applyFont="1" applyFill="1">
      <alignment vertical="top"/>
    </xf>
    <xf numFmtId="0" fontId="98" fillId="0" borderId="0" xfId="1704"/>
    <xf numFmtId="0" fontId="97" fillId="0" borderId="0" xfId="1705"/>
    <xf numFmtId="0" fontId="100" fillId="0" borderId="0" xfId="1704" applyFont="1" applyAlignment="1">
      <alignment horizontal="center"/>
    </xf>
    <xf numFmtId="0" fontId="100" fillId="0" borderId="0" xfId="1704" applyFont="1"/>
    <xf numFmtId="0" fontId="101" fillId="2" borderId="141" xfId="1704" applyFont="1" applyFill="1" applyBorder="1" applyAlignment="1">
      <alignment horizontal="center" vertical="center"/>
    </xf>
    <xf numFmtId="0" fontId="101" fillId="2" borderId="141" xfId="1704" applyFont="1" applyFill="1" applyBorder="1" applyAlignment="1">
      <alignment horizontal="center" vertical="center" wrapText="1"/>
    </xf>
    <xf numFmtId="10" fontId="101" fillId="2" borderId="141" xfId="1704" applyNumberFormat="1" applyFont="1" applyFill="1" applyBorder="1" applyAlignment="1">
      <alignment horizontal="center" vertical="center"/>
    </xf>
    <xf numFmtId="9" fontId="101" fillId="2" borderId="141" xfId="1704" applyNumberFormat="1" applyFont="1" applyFill="1" applyBorder="1" applyAlignment="1">
      <alignment horizontal="center" vertical="center"/>
    </xf>
    <xf numFmtId="0" fontId="100" fillId="0" borderId="141" xfId="1704" applyFont="1" applyBorder="1" applyAlignment="1">
      <alignment horizontal="center"/>
    </xf>
    <xf numFmtId="0" fontId="100" fillId="0" borderId="142" xfId="1704" applyFont="1" applyBorder="1"/>
    <xf numFmtId="182" fontId="100" fillId="0" borderId="141" xfId="1706" applyNumberFormat="1" applyFont="1" applyBorder="1"/>
    <xf numFmtId="182" fontId="100" fillId="0" borderId="141" xfId="1704" applyNumberFormat="1" applyFont="1" applyBorder="1"/>
    <xf numFmtId="0" fontId="101" fillId="0" borderId="141" xfId="1704" applyFont="1" applyBorder="1" applyAlignment="1">
      <alignment horizontal="center"/>
    </xf>
    <xf numFmtId="0" fontId="101" fillId="6" borderId="142" xfId="1704" applyFont="1" applyFill="1" applyBorder="1"/>
    <xf numFmtId="43" fontId="101" fillId="6" borderId="141" xfId="1707" applyNumberFormat="1" applyFont="1" applyFill="1" applyBorder="1"/>
    <xf numFmtId="43" fontId="102" fillId="11" borderId="0" xfId="1704" applyNumberFormat="1" applyFont="1" applyFill="1"/>
    <xf numFmtId="43" fontId="100" fillId="0" borderId="141" xfId="1707" applyNumberFormat="1" applyFont="1" applyFill="1" applyBorder="1"/>
    <xf numFmtId="0" fontId="100" fillId="0" borderId="141" xfId="1708" applyFont="1" applyBorder="1"/>
    <xf numFmtId="43" fontId="100" fillId="0" borderId="141" xfId="1708" applyNumberFormat="1" applyFont="1" applyBorder="1"/>
    <xf numFmtId="43" fontId="100" fillId="0" borderId="141" xfId="1706" applyNumberFormat="1" applyFont="1" applyBorder="1"/>
    <xf numFmtId="0" fontId="101" fillId="6" borderId="141" xfId="1704" applyFont="1" applyFill="1" applyBorder="1"/>
    <xf numFmtId="182" fontId="101" fillId="6" borderId="141" xfId="1706" applyNumberFormat="1" applyFont="1" applyFill="1" applyBorder="1"/>
    <xf numFmtId="43" fontId="101" fillId="6" borderId="141" xfId="1706" applyNumberFormat="1" applyFont="1" applyFill="1" applyBorder="1"/>
    <xf numFmtId="182" fontId="102" fillId="6" borderId="0" xfId="1704" applyNumberFormat="1" applyFont="1" applyFill="1"/>
    <xf numFmtId="0" fontId="100" fillId="0" borderId="141" xfId="1704" applyFont="1" applyBorder="1" applyAlignment="1">
      <alignment vertical="top" wrapText="1" readingOrder="1"/>
    </xf>
    <xf numFmtId="0" fontId="100" fillId="0" borderId="0" xfId="1704" applyFont="1" applyBorder="1" applyAlignment="1">
      <alignment horizontal="center"/>
    </xf>
    <xf numFmtId="0" fontId="100" fillId="0" borderId="0" xfId="1704" applyFont="1" applyBorder="1" applyAlignment="1">
      <alignment vertical="top" wrapText="1" readingOrder="1"/>
    </xf>
    <xf numFmtId="43" fontId="100" fillId="0" borderId="0" xfId="1707" applyNumberFormat="1" applyFont="1" applyFill="1" applyBorder="1"/>
    <xf numFmtId="182" fontId="100" fillId="0" borderId="0" xfId="1706" applyNumberFormat="1" applyFont="1" applyBorder="1"/>
    <xf numFmtId="182" fontId="100" fillId="0" borderId="0" xfId="1704" applyNumberFormat="1" applyFont="1" applyBorder="1"/>
    <xf numFmtId="0" fontId="102" fillId="0" borderId="0" xfId="1704" applyFont="1" applyBorder="1"/>
    <xf numFmtId="0" fontId="101" fillId="3" borderId="141" xfId="1704" applyFont="1" applyFill="1" applyBorder="1" applyAlignment="1">
      <alignment horizontal="center" vertical="center"/>
    </xf>
    <xf numFmtId="0" fontId="101" fillId="3" borderId="10" xfId="1704" applyFont="1" applyFill="1" applyBorder="1" applyAlignment="1">
      <alignment horizontal="center" vertical="center"/>
    </xf>
    <xf numFmtId="10" fontId="101" fillId="3" borderId="141" xfId="1704" applyNumberFormat="1" applyFont="1" applyFill="1" applyBorder="1" applyAlignment="1">
      <alignment horizontal="center" vertical="center"/>
    </xf>
    <xf numFmtId="9" fontId="101" fillId="3" borderId="141" xfId="1704" applyNumberFormat="1" applyFont="1" applyFill="1" applyBorder="1" applyAlignment="1">
      <alignment horizontal="center" vertical="center"/>
    </xf>
    <xf numFmtId="0" fontId="102" fillId="3" borderId="0" xfId="1704" applyFont="1" applyFill="1"/>
    <xf numFmtId="182" fontId="104" fillId="6" borderId="0" xfId="1704" applyNumberFormat="1" applyFont="1" applyFill="1"/>
    <xf numFmtId="0" fontId="105" fillId="0" borderId="141" xfId="1704" applyFont="1" applyBorder="1"/>
    <xf numFmtId="0" fontId="106" fillId="0" borderId="141" xfId="1704" applyFont="1" applyBorder="1"/>
    <xf numFmtId="170" fontId="106" fillId="0" borderId="141" xfId="1704" applyNumberFormat="1" applyFont="1" applyBorder="1"/>
    <xf numFmtId="170" fontId="100" fillId="0" borderId="141" xfId="1704" applyNumberFormat="1" applyFont="1" applyBorder="1"/>
    <xf numFmtId="182" fontId="102" fillId="4" borderId="0" xfId="1704" applyNumberFormat="1" applyFont="1" applyFill="1"/>
    <xf numFmtId="0" fontId="101" fillId="0" borderId="141" xfId="1704" applyFont="1" applyBorder="1"/>
    <xf numFmtId="43" fontId="107" fillId="6" borderId="0" xfId="1705" applyNumberFormat="1" applyFont="1" applyFill="1"/>
    <xf numFmtId="182" fontId="101" fillId="0" borderId="141" xfId="1706" applyNumberFormat="1" applyFont="1" applyBorder="1"/>
    <xf numFmtId="182" fontId="101" fillId="0" borderId="141" xfId="1704" applyNumberFormat="1" applyFont="1" applyBorder="1"/>
    <xf numFmtId="0" fontId="106" fillId="3" borderId="141" xfId="1704" applyFont="1" applyFill="1" applyBorder="1" applyAlignment="1">
      <alignment vertical="center"/>
    </xf>
    <xf numFmtId="41" fontId="106" fillId="3" borderId="141" xfId="1709" applyNumberFormat="1" applyFont="1" applyFill="1" applyBorder="1" applyAlignment="1">
      <alignment vertical="center"/>
    </xf>
    <xf numFmtId="41" fontId="100" fillId="0" borderId="145" xfId="1704" applyNumberFormat="1" applyFont="1" applyBorder="1" applyAlignment="1">
      <alignment vertical="center"/>
    </xf>
    <xf numFmtId="0" fontId="105" fillId="3" borderId="141" xfId="1704" applyFont="1" applyFill="1" applyBorder="1" applyAlignment="1">
      <alignment vertical="center"/>
    </xf>
    <xf numFmtId="41" fontId="105" fillId="3" borderId="141" xfId="1709" applyNumberFormat="1" applyFont="1" applyFill="1" applyBorder="1" applyAlignment="1">
      <alignment vertical="center"/>
    </xf>
    <xf numFmtId="0" fontId="100" fillId="0" borderId="141" xfId="1704" applyFont="1" applyBorder="1"/>
    <xf numFmtId="41" fontId="106" fillId="0" borderId="141" xfId="1710" applyNumberFormat="1" applyFont="1" applyBorder="1"/>
    <xf numFmtId="0" fontId="100" fillId="3" borderId="141" xfId="1704" applyFont="1" applyFill="1" applyBorder="1" applyAlignment="1">
      <alignment vertical="center"/>
    </xf>
    <xf numFmtId="43" fontId="106" fillId="3" borderId="141" xfId="1709" applyNumberFormat="1" applyFont="1" applyFill="1" applyBorder="1" applyAlignment="1">
      <alignment vertical="center"/>
    </xf>
    <xf numFmtId="41" fontId="100" fillId="0" borderId="141" xfId="1704" applyNumberFormat="1" applyFont="1" applyBorder="1"/>
    <xf numFmtId="0" fontId="100" fillId="0" borderId="145" xfId="1704" applyFont="1" applyFill="1" applyBorder="1" applyAlignment="1">
      <alignment horizontal="left" vertical="center"/>
    </xf>
    <xf numFmtId="43" fontId="100" fillId="0" borderId="145" xfId="1710" applyFont="1" applyBorder="1" applyAlignment="1">
      <alignment vertical="center" wrapText="1"/>
    </xf>
    <xf numFmtId="0" fontId="100" fillId="0" borderId="145" xfId="1704" applyFont="1" applyFill="1" applyBorder="1" applyAlignment="1">
      <alignment horizontal="left" vertical="center" wrapText="1"/>
    </xf>
    <xf numFmtId="182" fontId="100" fillId="0" borderId="145" xfId="1709" applyNumberFormat="1" applyFont="1" applyFill="1" applyBorder="1" applyAlignment="1">
      <alignment horizontal="center" vertical="center" wrapText="1"/>
    </xf>
    <xf numFmtId="43" fontId="102" fillId="4" borderId="0" xfId="1704" applyNumberFormat="1" applyFont="1" applyFill="1"/>
    <xf numFmtId="0" fontId="100" fillId="0" borderId="142" xfId="1704" applyFont="1" applyBorder="1" applyAlignment="1">
      <alignment horizontal="center"/>
    </xf>
    <xf numFmtId="0" fontId="100" fillId="0" borderId="144" xfId="1704" applyFont="1" applyBorder="1"/>
    <xf numFmtId="43" fontId="101" fillId="17" borderId="141" xfId="1704" applyNumberFormat="1" applyFont="1" applyFill="1" applyBorder="1"/>
    <xf numFmtId="43" fontId="98" fillId="4" borderId="0" xfId="1704" applyNumberFormat="1" applyFill="1"/>
    <xf numFmtId="0" fontId="101" fillId="3" borderId="0" xfId="1704" applyFont="1" applyFill="1" applyBorder="1" applyAlignment="1">
      <alignment horizontal="center"/>
    </xf>
    <xf numFmtId="43" fontId="101" fillId="3" borderId="0" xfId="1704" applyNumberFormat="1" applyFont="1" applyFill="1" applyBorder="1"/>
    <xf numFmtId="0" fontId="108" fillId="2" borderId="141" xfId="1704" applyFont="1" applyFill="1" applyBorder="1" applyAlignment="1">
      <alignment horizontal="center" vertical="center"/>
    </xf>
    <xf numFmtId="0" fontId="108" fillId="2" borderId="141" xfId="1704" applyFont="1" applyFill="1" applyBorder="1" applyAlignment="1">
      <alignment horizontal="center" vertical="center" wrapText="1"/>
    </xf>
    <xf numFmtId="0" fontId="108" fillId="2" borderId="145" xfId="1704" applyFont="1" applyFill="1" applyBorder="1" applyAlignment="1">
      <alignment horizontal="center" vertical="center"/>
    </xf>
    <xf numFmtId="10" fontId="108" fillId="2" borderId="141" xfId="1704" applyNumberFormat="1" applyFont="1" applyFill="1" applyBorder="1" applyAlignment="1">
      <alignment horizontal="center" vertical="center"/>
    </xf>
    <xf numFmtId="9" fontId="108" fillId="2" borderId="141" xfId="1704" applyNumberFormat="1" applyFont="1" applyFill="1" applyBorder="1" applyAlignment="1">
      <alignment horizontal="center" vertical="center"/>
    </xf>
    <xf numFmtId="0" fontId="109" fillId="0" borderId="141" xfId="1704" applyFont="1" applyBorder="1" applyAlignment="1">
      <alignment horizontal="center"/>
    </xf>
    <xf numFmtId="0" fontId="109" fillId="0" borderId="141" xfId="1704" applyFont="1" applyBorder="1"/>
    <xf numFmtId="182" fontId="109" fillId="0" borderId="141" xfId="1711" applyNumberFormat="1" applyFont="1" applyBorder="1"/>
    <xf numFmtId="179" fontId="109" fillId="0" borderId="141" xfId="1704" applyNumberFormat="1" applyFont="1" applyBorder="1"/>
    <xf numFmtId="182" fontId="108" fillId="11" borderId="141" xfId="1711" applyNumberFormat="1" applyFont="1" applyFill="1" applyBorder="1"/>
    <xf numFmtId="182" fontId="110" fillId="6" borderId="0" xfId="1704" applyNumberFormat="1" applyFont="1" applyFill="1"/>
    <xf numFmtId="0" fontId="108" fillId="12" borderId="141" xfId="1704" applyFont="1" applyFill="1" applyBorder="1" applyAlignment="1">
      <alignment horizontal="center"/>
    </xf>
    <xf numFmtId="0" fontId="108" fillId="12" borderId="141" xfId="1704" applyFont="1" applyFill="1" applyBorder="1"/>
    <xf numFmtId="182" fontId="108" fillId="12" borderId="141" xfId="1711" applyNumberFormat="1" applyFont="1" applyFill="1" applyBorder="1"/>
    <xf numFmtId="0" fontId="109" fillId="0" borderId="141" xfId="1704" applyFont="1" applyFill="1" applyBorder="1" applyAlignment="1">
      <alignment horizontal="center"/>
    </xf>
    <xf numFmtId="0" fontId="109" fillId="0" borderId="141" xfId="1704" applyFont="1" applyFill="1" applyBorder="1"/>
    <xf numFmtId="182" fontId="109" fillId="0" borderId="141" xfId="1711" applyNumberFormat="1" applyFont="1" applyFill="1" applyBorder="1"/>
    <xf numFmtId="182" fontId="109" fillId="0" borderId="141" xfId="1704" applyNumberFormat="1" applyFont="1" applyFill="1" applyBorder="1"/>
    <xf numFmtId="182" fontId="109" fillId="0" borderId="141" xfId="1704" applyNumberFormat="1" applyFont="1" applyBorder="1"/>
    <xf numFmtId="0" fontId="109" fillId="0" borderId="141" xfId="1704" applyFont="1" applyFill="1" applyBorder="1" applyAlignment="1">
      <alignment horizontal="center" vertical="top"/>
    </xf>
    <xf numFmtId="0" fontId="109" fillId="0" borderId="141" xfId="1704" applyFont="1" applyFill="1" applyBorder="1" applyAlignment="1">
      <alignment wrapText="1"/>
    </xf>
    <xf numFmtId="182" fontId="109" fillId="0" borderId="141" xfId="1711" applyNumberFormat="1" applyFont="1" applyFill="1" applyBorder="1" applyAlignment="1">
      <alignment vertical="center"/>
    </xf>
    <xf numFmtId="182" fontId="109" fillId="0" borderId="141" xfId="1704" applyNumberFormat="1" applyFont="1" applyFill="1" applyBorder="1" applyAlignment="1">
      <alignment vertical="center"/>
    </xf>
    <xf numFmtId="0" fontId="109" fillId="0" borderId="141" xfId="1704" applyFont="1" applyFill="1" applyBorder="1" applyAlignment="1">
      <alignment horizontal="center" vertical="center"/>
    </xf>
    <xf numFmtId="41" fontId="109" fillId="0" borderId="0" xfId="1711" applyNumberFormat="1" applyFont="1" applyFill="1"/>
    <xf numFmtId="0" fontId="109" fillId="0" borderId="146" xfId="1704" applyFont="1" applyBorder="1" applyAlignment="1">
      <alignment horizontal="center"/>
    </xf>
    <xf numFmtId="0" fontId="109" fillId="0" borderId="146" xfId="1704" applyFont="1" applyBorder="1"/>
    <xf numFmtId="182" fontId="109" fillId="0" borderId="146" xfId="1711" applyNumberFormat="1" applyFont="1" applyBorder="1"/>
    <xf numFmtId="182" fontId="109" fillId="0" borderId="146" xfId="1704" applyNumberFormat="1" applyFont="1" applyBorder="1"/>
    <xf numFmtId="0" fontId="108" fillId="12" borderId="10" xfId="1704" applyFont="1" applyFill="1" applyBorder="1" applyAlignment="1">
      <alignment horizontal="center"/>
    </xf>
    <xf numFmtId="0" fontId="108" fillId="12" borderId="10" xfId="1704" applyFont="1" applyFill="1" applyBorder="1"/>
    <xf numFmtId="182" fontId="108" fillId="12" borderId="10" xfId="1711" applyNumberFormat="1" applyFont="1" applyFill="1" applyBorder="1"/>
    <xf numFmtId="182" fontId="109" fillId="0" borderId="136" xfId="1711" applyNumberFormat="1" applyFont="1" applyFill="1" applyBorder="1"/>
    <xf numFmtId="182" fontId="108" fillId="0" borderId="141" xfId="1711" applyNumberFormat="1" applyFont="1" applyFill="1" applyBorder="1"/>
    <xf numFmtId="0" fontId="100" fillId="0" borderId="141" xfId="1704" applyFont="1" applyFill="1" applyBorder="1"/>
    <xf numFmtId="43" fontId="100" fillId="0" borderId="141" xfId="1709" applyNumberFormat="1" applyFont="1" applyFill="1" applyBorder="1"/>
    <xf numFmtId="0" fontId="100" fillId="0" borderId="141" xfId="1704" applyFont="1" applyFill="1" applyBorder="1" applyAlignment="1">
      <alignment wrapText="1"/>
    </xf>
    <xf numFmtId="0" fontId="100" fillId="0" borderId="141" xfId="1704" applyFont="1" applyFill="1" applyBorder="1" applyAlignment="1">
      <alignment horizontal="center"/>
    </xf>
    <xf numFmtId="179" fontId="100" fillId="0" borderId="141" xfId="1710" applyNumberFormat="1" applyFont="1" applyFill="1" applyBorder="1"/>
    <xf numFmtId="182" fontId="107" fillId="6" borderId="0" xfId="1705" applyNumberFormat="1" applyFont="1" applyFill="1"/>
    <xf numFmtId="43" fontId="108" fillId="17" borderId="141" xfId="1704" applyNumberFormat="1" applyFont="1" applyFill="1" applyBorder="1"/>
    <xf numFmtId="43" fontId="108" fillId="11" borderId="141" xfId="1704" applyNumberFormat="1" applyFont="1" applyFill="1" applyBorder="1"/>
    <xf numFmtId="182" fontId="102" fillId="0" borderId="0" xfId="1709" applyNumberFormat="1" applyFont="1"/>
    <xf numFmtId="179" fontId="102" fillId="0" borderId="0" xfId="1704" applyNumberFormat="1" applyFont="1"/>
    <xf numFmtId="43" fontId="98" fillId="0" borderId="0" xfId="1704" applyNumberFormat="1"/>
    <xf numFmtId="182" fontId="102" fillId="0" borderId="0" xfId="1704" applyNumberFormat="1" applyFont="1"/>
    <xf numFmtId="0" fontId="113" fillId="0" borderId="0" xfId="1915" applyFont="1" applyAlignment="1">
      <alignment vertical="center"/>
    </xf>
    <xf numFmtId="0" fontId="114" fillId="0" borderId="0" xfId="1704" applyFont="1"/>
    <xf numFmtId="0" fontId="113" fillId="5" borderId="141" xfId="1915" applyFont="1" applyFill="1" applyBorder="1" applyAlignment="1">
      <alignment horizontal="center" vertical="center" wrapText="1"/>
    </xf>
    <xf numFmtId="0" fontId="113" fillId="5" borderId="141" xfId="1915" applyFont="1" applyFill="1" applyBorder="1" applyAlignment="1">
      <alignment horizontal="center" vertical="center"/>
    </xf>
    <xf numFmtId="0" fontId="115" fillId="5" borderId="141" xfId="1915" applyFont="1" applyFill="1" applyBorder="1" applyAlignment="1">
      <alignment horizontal="center" vertical="center"/>
    </xf>
    <xf numFmtId="0" fontId="115" fillId="5" borderId="141" xfId="1915" applyFont="1" applyFill="1" applyBorder="1" applyAlignment="1">
      <alignment horizontal="center" vertical="center" wrapText="1"/>
    </xf>
    <xf numFmtId="0" fontId="115" fillId="0" borderId="141" xfId="1915" applyFont="1" applyBorder="1" applyAlignment="1">
      <alignment vertical="center"/>
    </xf>
    <xf numFmtId="168" fontId="115" fillId="0" borderId="141" xfId="1915" applyNumberFormat="1" applyFont="1" applyBorder="1" applyAlignment="1">
      <alignment vertical="center"/>
    </xf>
    <xf numFmtId="168" fontId="116" fillId="0" borderId="141" xfId="1915" applyNumberFormat="1" applyFont="1" applyBorder="1" applyAlignment="1">
      <alignment vertical="center"/>
    </xf>
    <xf numFmtId="0" fontId="117" fillId="0" borderId="141" xfId="1915" applyFont="1" applyBorder="1" applyAlignment="1">
      <alignment vertical="center"/>
    </xf>
    <xf numFmtId="168" fontId="117" fillId="0" borderId="141" xfId="1915" applyNumberFormat="1" applyFont="1" applyBorder="1" applyAlignment="1">
      <alignment vertical="center"/>
    </xf>
    <xf numFmtId="0" fontId="117" fillId="0" borderId="0" xfId="1704" applyFont="1"/>
    <xf numFmtId="0" fontId="115" fillId="0" borderId="141" xfId="1916" applyFont="1" applyBorder="1" applyAlignment="1">
      <alignment horizontal="left" vertical="center"/>
    </xf>
    <xf numFmtId="0" fontId="117" fillId="0" borderId="141" xfId="1916" applyFont="1" applyBorder="1" applyAlignment="1">
      <alignment horizontal="left" vertical="center"/>
    </xf>
    <xf numFmtId="168" fontId="115" fillId="5" borderId="141" xfId="1915" applyNumberFormat="1" applyFont="1" applyFill="1" applyBorder="1" applyAlignment="1">
      <alignment vertical="center"/>
    </xf>
    <xf numFmtId="168" fontId="114" fillId="0" borderId="0" xfId="1704" applyNumberFormat="1" applyFont="1"/>
    <xf numFmtId="41" fontId="114" fillId="0" borderId="0" xfId="1917" applyNumberFormat="1" applyFont="1"/>
    <xf numFmtId="183" fontId="114" fillId="0" borderId="0" xfId="1704" applyNumberFormat="1" applyFont="1"/>
    <xf numFmtId="43" fontId="119" fillId="0" borderId="0" xfId="1710" applyFont="1" applyFill="1" applyBorder="1" applyAlignment="1" applyProtection="1"/>
    <xf numFmtId="0" fontId="119" fillId="0" borderId="0" xfId="1704" applyFont="1" applyAlignment="1"/>
    <xf numFmtId="0" fontId="120" fillId="0" borderId="0" xfId="1704" applyFont="1" applyAlignment="1">
      <alignment horizontal="center"/>
    </xf>
    <xf numFmtId="0" fontId="120" fillId="0" borderId="0" xfId="1704" applyFont="1"/>
    <xf numFmtId="0" fontId="120" fillId="0" borderId="0" xfId="1704" applyFont="1" applyAlignment="1">
      <alignment wrapText="1"/>
    </xf>
    <xf numFmtId="43" fontId="120" fillId="0" borderId="0" xfId="1704" applyNumberFormat="1" applyFont="1"/>
    <xf numFmtId="0" fontId="120" fillId="0" borderId="0" xfId="1704" applyFont="1" applyAlignment="1">
      <alignment horizontal="center" wrapText="1"/>
    </xf>
    <xf numFmtId="43" fontId="114" fillId="0" borderId="0" xfId="1710" applyFont="1" applyFill="1" applyBorder="1" applyAlignment="1" applyProtection="1"/>
    <xf numFmtId="0" fontId="121" fillId="2" borderId="11" xfId="1704" applyFont="1" applyFill="1" applyBorder="1" applyAlignment="1">
      <alignment horizontal="center" vertical="center"/>
    </xf>
    <xf numFmtId="0" fontId="121" fillId="2" borderId="12" xfId="1704" applyFont="1" applyFill="1" applyBorder="1" applyAlignment="1">
      <alignment horizontal="center" vertical="center" wrapText="1"/>
    </xf>
    <xf numFmtId="43" fontId="121" fillId="2" borderId="12" xfId="1704" applyNumberFormat="1" applyFont="1" applyFill="1" applyBorder="1" applyAlignment="1">
      <alignment horizontal="center" vertical="center" wrapText="1"/>
    </xf>
    <xf numFmtId="0" fontId="122" fillId="3" borderId="14" xfId="1704" applyFont="1" applyFill="1" applyBorder="1" applyAlignment="1">
      <alignment horizontal="center" vertical="center"/>
    </xf>
    <xf numFmtId="0" fontId="122" fillId="3" borderId="141" xfId="1704" applyFont="1" applyFill="1" applyBorder="1" applyAlignment="1">
      <alignment vertical="center"/>
    </xf>
    <xf numFmtId="43" fontId="122" fillId="3" borderId="141" xfId="1704" applyNumberFormat="1" applyFont="1" applyFill="1" applyBorder="1" applyAlignment="1">
      <alignment vertical="center"/>
    </xf>
    <xf numFmtId="0" fontId="122" fillId="3" borderId="141" xfId="1704" applyFont="1" applyFill="1" applyBorder="1" applyAlignment="1">
      <alignment horizontal="center" vertical="center" wrapText="1"/>
    </xf>
    <xf numFmtId="43" fontId="122" fillId="0" borderId="0" xfId="1710" applyFont="1" applyFill="1" applyBorder="1" applyAlignment="1" applyProtection="1"/>
    <xf numFmtId="0" fontId="122" fillId="0" borderId="0" xfId="1704" applyFont="1"/>
    <xf numFmtId="0" fontId="123" fillId="3" borderId="19" xfId="1704" applyFont="1" applyFill="1" applyBorder="1" applyAlignment="1">
      <alignment horizontal="center" vertical="center"/>
    </xf>
    <xf numFmtId="0" fontId="123" fillId="3" borderId="136" xfId="1704" applyFont="1" applyFill="1" applyBorder="1" applyAlignment="1">
      <alignment vertical="center"/>
    </xf>
    <xf numFmtId="0" fontId="123" fillId="3" borderId="136" xfId="1704" applyFont="1" applyFill="1" applyBorder="1" applyAlignment="1">
      <alignment vertical="center" wrapText="1"/>
    </xf>
    <xf numFmtId="43" fontId="123" fillId="0" borderId="136" xfId="1704" applyNumberFormat="1" applyFont="1" applyFill="1" applyBorder="1" applyAlignment="1">
      <alignment vertical="center"/>
    </xf>
    <xf numFmtId="0" fontId="123" fillId="3" borderId="136" xfId="1704" applyFont="1" applyFill="1" applyBorder="1" applyAlignment="1">
      <alignment horizontal="center" vertical="center" wrapText="1"/>
    </xf>
    <xf numFmtId="43" fontId="123" fillId="0" borderId="0" xfId="1710" applyFont="1" applyFill="1" applyBorder="1" applyAlignment="1" applyProtection="1"/>
    <xf numFmtId="0" fontId="123" fillId="0" borderId="0" xfId="1704" applyFont="1"/>
    <xf numFmtId="43" fontId="123" fillId="3" borderId="136" xfId="1704" applyNumberFormat="1" applyFont="1" applyFill="1" applyBorder="1" applyAlignment="1">
      <alignment horizontal="center" vertical="center" wrapText="1"/>
    </xf>
    <xf numFmtId="43" fontId="123" fillId="0" borderId="0" xfId="1704" applyNumberFormat="1" applyFont="1"/>
    <xf numFmtId="0" fontId="124" fillId="4" borderId="136" xfId="1704" applyNumberFormat="1" applyFont="1" applyFill="1" applyBorder="1" applyAlignment="1">
      <alignment vertical="center"/>
    </xf>
    <xf numFmtId="43" fontId="123" fillId="3" borderId="136" xfId="1704" applyNumberFormat="1" applyFont="1" applyFill="1" applyBorder="1" applyAlignment="1">
      <alignment vertical="center"/>
    </xf>
    <xf numFmtId="0" fontId="123" fillId="3" borderId="14" xfId="1704" applyFont="1" applyFill="1" applyBorder="1" applyAlignment="1">
      <alignment horizontal="center" vertical="center"/>
    </xf>
    <xf numFmtId="0" fontId="122" fillId="0" borderId="14" xfId="1704" applyFont="1" applyFill="1" applyBorder="1" applyAlignment="1">
      <alignment horizontal="center" vertical="center"/>
    </xf>
    <xf numFmtId="0" fontId="122" fillId="0" borderId="136" xfId="1704" applyFont="1" applyFill="1" applyBorder="1" applyAlignment="1">
      <alignment vertical="center"/>
    </xf>
    <xf numFmtId="0" fontId="123" fillId="0" borderId="136" xfId="1704" applyFont="1" applyFill="1" applyBorder="1" applyAlignment="1">
      <alignment vertical="center"/>
    </xf>
    <xf numFmtId="0" fontId="122" fillId="0" borderId="136" xfId="1704" applyFont="1" applyFill="1" applyBorder="1" applyAlignment="1">
      <alignment horizontal="center" vertical="center" wrapText="1"/>
    </xf>
    <xf numFmtId="0" fontId="123" fillId="0" borderId="0" xfId="1704" applyFont="1" applyFill="1"/>
    <xf numFmtId="0" fontId="123" fillId="0" borderId="14" xfId="1704" applyFont="1" applyFill="1" applyBorder="1" applyAlignment="1">
      <alignment horizontal="center" vertical="center"/>
    </xf>
    <xf numFmtId="0" fontId="123" fillId="0" borderId="136" xfId="1704" applyFont="1" applyFill="1" applyBorder="1" applyAlignment="1">
      <alignment horizontal="center" vertical="center" wrapText="1"/>
    </xf>
    <xf numFmtId="0" fontId="122" fillId="0" borderId="0" xfId="1704" applyFont="1" applyFill="1"/>
    <xf numFmtId="43" fontId="122" fillId="0" borderId="141" xfId="1704" applyNumberFormat="1" applyFont="1" applyFill="1" applyBorder="1" applyAlignment="1">
      <alignment vertical="center"/>
    </xf>
    <xf numFmtId="0" fontId="122" fillId="0" borderId="141" xfId="1704" applyFont="1" applyFill="1" applyBorder="1" applyAlignment="1">
      <alignment horizontal="center" vertical="center" wrapText="1"/>
    </xf>
    <xf numFmtId="0" fontId="122" fillId="0" borderId="141" xfId="1704" applyFont="1" applyFill="1" applyBorder="1" applyAlignment="1">
      <alignment vertical="center"/>
    </xf>
    <xf numFmtId="0" fontId="123" fillId="0" borderId="141" xfId="1704" applyFont="1" applyFill="1" applyBorder="1" applyAlignment="1">
      <alignment vertical="center"/>
    </xf>
    <xf numFmtId="43" fontId="123" fillId="0" borderId="141" xfId="1704" applyNumberFormat="1" applyFont="1" applyFill="1" applyBorder="1" applyAlignment="1">
      <alignment vertical="center"/>
    </xf>
    <xf numFmtId="0" fontId="123" fillId="0" borderId="141" xfId="1704" applyFont="1" applyFill="1" applyBorder="1" applyAlignment="1">
      <alignment horizontal="center" vertical="center" wrapText="1"/>
    </xf>
    <xf numFmtId="0" fontId="123" fillId="0" borderId="136" xfId="1704" applyFont="1" applyFill="1" applyBorder="1" applyAlignment="1">
      <alignment horizontal="left" vertical="center" wrapText="1"/>
    </xf>
    <xf numFmtId="0" fontId="123" fillId="0" borderId="136" xfId="1704" applyFont="1" applyFill="1" applyBorder="1" applyAlignment="1">
      <alignment vertical="center" wrapText="1"/>
    </xf>
    <xf numFmtId="43" fontId="122" fillId="0" borderId="146" xfId="1704" applyNumberFormat="1" applyFont="1" applyFill="1" applyBorder="1" applyAlignment="1">
      <alignment vertical="center"/>
    </xf>
    <xf numFmtId="0" fontId="122" fillId="0" borderId="146" xfId="1704" applyFont="1" applyFill="1" applyBorder="1" applyAlignment="1">
      <alignment horizontal="center" vertical="center" wrapText="1"/>
    </xf>
    <xf numFmtId="43" fontId="123" fillId="0" borderId="136" xfId="1704" applyNumberFormat="1" applyFont="1" applyFill="1" applyBorder="1" applyAlignment="1">
      <alignment horizontal="center" vertical="center" wrapText="1"/>
    </xf>
    <xf numFmtId="0" fontId="114" fillId="0" borderId="0" xfId="1704" applyFont="1" applyFill="1"/>
    <xf numFmtId="0" fontId="122" fillId="0" borderId="19" xfId="1704" applyFont="1" applyFill="1" applyBorder="1" applyAlignment="1">
      <alignment horizontal="center" vertical="center"/>
    </xf>
    <xf numFmtId="0" fontId="122" fillId="0" borderId="136" xfId="1704" applyFont="1" applyFill="1" applyBorder="1" applyAlignment="1">
      <alignment horizontal="center" vertical="center"/>
    </xf>
    <xf numFmtId="0" fontId="122" fillId="0" borderId="56" xfId="1704" applyFont="1" applyFill="1" applyBorder="1" applyAlignment="1">
      <alignment horizontal="center" vertical="center"/>
    </xf>
    <xf numFmtId="43" fontId="122" fillId="0" borderId="136" xfId="1704" applyNumberFormat="1" applyFont="1" applyFill="1" applyBorder="1" applyAlignment="1">
      <alignment vertical="center"/>
    </xf>
    <xf numFmtId="0" fontId="123" fillId="0" borderId="26" xfId="1704" applyFont="1" applyFill="1" applyBorder="1" applyAlignment="1">
      <alignment horizontal="center" vertical="center"/>
    </xf>
    <xf numFmtId="0" fontId="123" fillId="0" borderId="10" xfId="1704" applyFont="1" applyFill="1" applyBorder="1" applyAlignment="1">
      <alignment vertical="center"/>
    </xf>
    <xf numFmtId="43" fontId="123" fillId="0" borderId="10" xfId="1704" applyNumberFormat="1" applyFont="1" applyFill="1" applyBorder="1" applyAlignment="1">
      <alignment vertical="center"/>
    </xf>
    <xf numFmtId="0" fontId="123" fillId="0" borderId="10" xfId="1704" applyFont="1" applyFill="1" applyBorder="1" applyAlignment="1">
      <alignment horizontal="center" vertical="center" wrapText="1"/>
    </xf>
    <xf numFmtId="0" fontId="122" fillId="0" borderId="151" xfId="1704" applyFont="1" applyFill="1" applyBorder="1" applyAlignment="1">
      <alignment horizontal="center" vertical="center"/>
    </xf>
    <xf numFmtId="0" fontId="122" fillId="0" borderId="143" xfId="1704" applyFont="1" applyFill="1" applyBorder="1" applyAlignment="1">
      <alignment horizontal="center" vertical="center"/>
    </xf>
    <xf numFmtId="0" fontId="122" fillId="0" borderId="144" xfId="1704" applyFont="1" applyFill="1" applyBorder="1" applyAlignment="1">
      <alignment horizontal="center" vertical="center"/>
    </xf>
    <xf numFmtId="0" fontId="125" fillId="0" borderId="149" xfId="1704" applyFont="1" applyBorder="1" applyAlignment="1">
      <alignment vertical="top"/>
    </xf>
    <xf numFmtId="182" fontId="126" fillId="0" borderId="136" xfId="1703" applyNumberFormat="1" applyFont="1" applyBorder="1" applyAlignment="1">
      <alignment vertical="top"/>
    </xf>
    <xf numFmtId="0" fontId="114" fillId="0" borderId="0" xfId="1704" applyFont="1" applyFill="1" applyBorder="1"/>
    <xf numFmtId="0" fontId="125" fillId="0" borderId="0" xfId="1704" applyFont="1" applyBorder="1" applyAlignment="1">
      <alignment vertical="top"/>
    </xf>
    <xf numFmtId="0" fontId="122" fillId="3" borderId="151" xfId="1704" applyFont="1" applyFill="1" applyBorder="1" applyAlignment="1">
      <alignment horizontal="center" vertical="center"/>
    </xf>
    <xf numFmtId="0" fontId="122" fillId="3" borderId="143" xfId="1704" applyFont="1" applyFill="1" applyBorder="1" applyAlignment="1">
      <alignment horizontal="center" vertical="center"/>
    </xf>
    <xf numFmtId="0" fontId="122" fillId="3" borderId="144" xfId="1704" applyFont="1" applyFill="1" applyBorder="1" applyAlignment="1">
      <alignment horizontal="center" vertical="center"/>
    </xf>
    <xf numFmtId="43" fontId="122" fillId="5" borderId="141" xfId="1704" applyNumberFormat="1" applyFont="1" applyFill="1" applyBorder="1" applyAlignment="1">
      <alignment vertical="center"/>
    </xf>
    <xf numFmtId="0" fontId="122" fillId="5" borderId="141" xfId="1704" applyFont="1" applyFill="1" applyBorder="1" applyAlignment="1">
      <alignment horizontal="center" vertical="center" wrapText="1"/>
    </xf>
    <xf numFmtId="43" fontId="114" fillId="6" borderId="0" xfId="1710" applyFont="1" applyFill="1" applyBorder="1" applyAlignment="1" applyProtection="1"/>
    <xf numFmtId="0" fontId="123" fillId="3" borderId="28" xfId="1704" applyFont="1" applyFill="1" applyBorder="1" applyAlignment="1">
      <alignment horizontal="center" vertical="center"/>
    </xf>
    <xf numFmtId="0" fontId="123" fillId="3" borderId="29" xfId="1704" applyFont="1" applyFill="1" applyBorder="1" applyAlignment="1">
      <alignment vertical="center"/>
    </xf>
    <xf numFmtId="43" fontId="123" fillId="3" borderId="29" xfId="1704" applyNumberFormat="1" applyFont="1" applyFill="1" applyBorder="1" applyAlignment="1">
      <alignment vertical="center"/>
    </xf>
    <xf numFmtId="0" fontId="123" fillId="3" borderId="29" xfId="1704" applyFont="1" applyFill="1" applyBorder="1" applyAlignment="1">
      <alignment horizontal="center" vertical="center" wrapText="1"/>
    </xf>
    <xf numFmtId="43" fontId="114" fillId="0" borderId="0" xfId="1704" applyNumberFormat="1" applyFont="1"/>
    <xf numFmtId="43" fontId="114" fillId="0" borderId="0" xfId="1704" applyNumberFormat="1" applyFont="1" applyAlignment="1">
      <alignment wrapText="1"/>
    </xf>
    <xf numFmtId="0" fontId="114" fillId="0" borderId="0" xfId="1704" applyFont="1" applyAlignment="1">
      <alignment wrapText="1"/>
    </xf>
    <xf numFmtId="0" fontId="114" fillId="0" borderId="0" xfId="1704" applyFont="1" applyAlignment="1">
      <alignment horizontal="center"/>
    </xf>
    <xf numFmtId="0" fontId="106" fillId="0" borderId="0" xfId="1918" applyFont="1" applyFill="1"/>
    <xf numFmtId="0" fontId="119" fillId="0" borderId="0" xfId="1918" applyFont="1" applyFill="1" applyAlignment="1">
      <alignment horizontal="center" vertical="center"/>
    </xf>
    <xf numFmtId="0" fontId="106" fillId="0" borderId="0" xfId="1918" applyFont="1" applyFill="1" applyAlignment="1">
      <alignment horizontal="center"/>
    </xf>
    <xf numFmtId="0" fontId="106" fillId="0" borderId="0" xfId="1918" applyFont="1" applyFill="1" applyAlignment="1">
      <alignment wrapText="1"/>
    </xf>
    <xf numFmtId="43" fontId="106" fillId="0" borderId="0" xfId="1919" applyNumberFormat="1" applyFont="1" applyFill="1"/>
    <xf numFmtId="43" fontId="106" fillId="0" borderId="0" xfId="1918" applyNumberFormat="1" applyFont="1" applyFill="1"/>
    <xf numFmtId="0" fontId="121" fillId="0" borderId="141" xfId="1704" applyFont="1" applyFill="1" applyBorder="1" applyAlignment="1">
      <alignment horizontal="center" vertical="center"/>
    </xf>
    <xf numFmtId="179" fontId="121" fillId="0" borderId="141" xfId="1710" applyNumberFormat="1" applyFont="1" applyFill="1" applyBorder="1" applyAlignment="1">
      <alignment horizontal="center" vertical="center"/>
    </xf>
    <xf numFmtId="0" fontId="121" fillId="0" borderId="141" xfId="1704" applyFont="1" applyFill="1" applyBorder="1" applyAlignment="1">
      <alignment horizontal="center" vertical="center" wrapText="1"/>
    </xf>
    <xf numFmtId="0" fontId="121" fillId="0" borderId="0" xfId="1918" applyFont="1" applyFill="1" applyAlignment="1">
      <alignment horizontal="center"/>
    </xf>
    <xf numFmtId="0" fontId="121" fillId="0" borderId="141" xfId="1704" applyFont="1" applyFill="1" applyBorder="1"/>
    <xf numFmtId="179" fontId="121" fillId="0" borderId="141" xfId="1710" applyNumberFormat="1" applyFont="1" applyFill="1" applyBorder="1"/>
    <xf numFmtId="179" fontId="121" fillId="0" borderId="141" xfId="1710" applyNumberFormat="1" applyFont="1" applyFill="1" applyBorder="1" applyAlignment="1">
      <alignment vertical="top"/>
    </xf>
    <xf numFmtId="179" fontId="121" fillId="0" borderId="141" xfId="1704" applyNumberFormat="1" applyFont="1" applyFill="1" applyBorder="1"/>
    <xf numFmtId="0" fontId="121" fillId="0" borderId="0" xfId="1918" applyFont="1" applyFill="1" applyAlignment="1">
      <alignment horizontal="center" vertical="center"/>
    </xf>
    <xf numFmtId="0" fontId="121" fillId="0" borderId="141" xfId="1920" applyFont="1" applyFill="1" applyBorder="1" applyAlignment="1">
      <alignment vertical="top"/>
    </xf>
    <xf numFmtId="43" fontId="121" fillId="0" borderId="141" xfId="1710" applyFont="1" applyFill="1" applyBorder="1"/>
    <xf numFmtId="43" fontId="121" fillId="0" borderId="141" xfId="1710" applyFont="1" applyFill="1" applyBorder="1" applyAlignment="1">
      <alignment vertical="top"/>
    </xf>
    <xf numFmtId="43" fontId="121" fillId="0" borderId="0" xfId="1710" applyFont="1" applyFill="1"/>
    <xf numFmtId="179" fontId="121" fillId="0" borderId="0" xfId="1918" applyNumberFormat="1" applyFont="1" applyFill="1"/>
    <xf numFmtId="0" fontId="121" fillId="0" borderId="0" xfId="1918" applyFont="1" applyFill="1"/>
    <xf numFmtId="0" fontId="121" fillId="0" borderId="141" xfId="1920" applyFont="1" applyFill="1" applyBorder="1" applyAlignment="1">
      <alignment horizontal="left" vertical="top" wrapText="1"/>
    </xf>
    <xf numFmtId="43" fontId="99" fillId="0" borderId="141" xfId="1710" applyFont="1" applyFill="1" applyBorder="1"/>
    <xf numFmtId="0" fontId="120" fillId="0" borderId="141" xfId="1920" applyFont="1" applyFill="1" applyBorder="1" applyAlignment="1">
      <alignment horizontal="left" vertical="top"/>
    </xf>
    <xf numFmtId="43" fontId="114" fillId="0" borderId="141" xfId="1710" applyFont="1" applyFill="1" applyBorder="1"/>
    <xf numFmtId="43" fontId="120" fillId="0" borderId="141" xfId="1710" applyFont="1" applyFill="1" applyBorder="1" applyAlignment="1">
      <alignment vertical="top"/>
    </xf>
    <xf numFmtId="0" fontId="120" fillId="0" borderId="0" xfId="1918" applyFont="1" applyFill="1"/>
    <xf numFmtId="0" fontId="114" fillId="0" borderId="0" xfId="1918" applyFont="1" applyFill="1"/>
    <xf numFmtId="43" fontId="120" fillId="0" borderId="141" xfId="1710" applyFont="1" applyFill="1" applyBorder="1"/>
    <xf numFmtId="0" fontId="120" fillId="0" borderId="141" xfId="1918" applyFont="1" applyFill="1" applyBorder="1" applyAlignment="1">
      <alignment horizontal="center"/>
    </xf>
    <xf numFmtId="169" fontId="120" fillId="0" borderId="0" xfId="1919" applyNumberFormat="1" applyFont="1" applyFill="1"/>
    <xf numFmtId="0" fontId="121" fillId="0" borderId="141" xfId="1918" applyFont="1" applyFill="1" applyBorder="1" applyAlignment="1">
      <alignment horizontal="left"/>
    </xf>
    <xf numFmtId="169" fontId="121" fillId="0" borderId="0" xfId="1919" applyNumberFormat="1" applyFont="1" applyFill="1"/>
    <xf numFmtId="43" fontId="106" fillId="0" borderId="0" xfId="1710" applyFont="1" applyFill="1"/>
    <xf numFmtId="171" fontId="106" fillId="0" borderId="0" xfId="186" applyFont="1" applyFill="1"/>
    <xf numFmtId="41" fontId="0" fillId="0" borderId="0" xfId="1709" applyFont="1" applyAlignment="1">
      <alignment wrapText="1"/>
    </xf>
    <xf numFmtId="0" fontId="98" fillId="0" borderId="0" xfId="1704" applyAlignment="1">
      <alignment wrapText="1"/>
    </xf>
    <xf numFmtId="0" fontId="128" fillId="0" borderId="0" xfId="1704" applyFont="1" applyAlignment="1">
      <alignment horizontal="center" wrapText="1"/>
    </xf>
    <xf numFmtId="0" fontId="128" fillId="0" borderId="0" xfId="1704" applyFont="1" applyAlignment="1">
      <alignment vertical="center"/>
    </xf>
    <xf numFmtId="0" fontId="128" fillId="0" borderId="0" xfId="1704" applyFont="1" applyAlignment="1">
      <alignment wrapText="1"/>
    </xf>
    <xf numFmtId="0" fontId="128" fillId="0" borderId="0" xfId="1704" applyFont="1" applyFill="1" applyAlignment="1">
      <alignment wrapText="1"/>
    </xf>
    <xf numFmtId="0" fontId="129" fillId="5" borderId="141" xfId="1704" applyFont="1" applyFill="1" applyBorder="1" applyAlignment="1">
      <alignment horizontal="center" vertical="center" wrapText="1"/>
    </xf>
    <xf numFmtId="0" fontId="129" fillId="5" borderId="141" xfId="1704" applyFont="1" applyFill="1" applyBorder="1" applyAlignment="1">
      <alignment horizontal="center" vertical="center"/>
    </xf>
    <xf numFmtId="0" fontId="130" fillId="0" borderId="141" xfId="1704" quotePrefix="1" applyFont="1" applyFill="1" applyBorder="1" applyAlignment="1">
      <alignment wrapText="1"/>
    </xf>
    <xf numFmtId="182" fontId="130" fillId="0" borderId="141" xfId="1921" applyNumberFormat="1" applyFont="1" applyFill="1" applyBorder="1" applyAlignment="1">
      <alignment wrapText="1"/>
    </xf>
    <xf numFmtId="41" fontId="98" fillId="0" borderId="0" xfId="1709" applyFont="1" applyFill="1" applyAlignment="1">
      <alignment wrapText="1"/>
    </xf>
    <xf numFmtId="0" fontId="98" fillId="0" borderId="0" xfId="1704" applyFont="1" applyFill="1" applyAlignment="1">
      <alignment wrapText="1"/>
    </xf>
    <xf numFmtId="182" fontId="128" fillId="0" borderId="141" xfId="1921" applyNumberFormat="1" applyFont="1" applyFill="1" applyBorder="1" applyAlignment="1">
      <alignment wrapText="1"/>
    </xf>
    <xf numFmtId="0" fontId="98" fillId="0" borderId="0" xfId="1704" applyFill="1" applyAlignment="1">
      <alignment wrapText="1"/>
    </xf>
    <xf numFmtId="0" fontId="130" fillId="0" borderId="141" xfId="1704" applyFont="1" applyFill="1" applyBorder="1" applyAlignment="1">
      <alignment horizontal="center" wrapText="1"/>
    </xf>
    <xf numFmtId="0" fontId="130" fillId="0" borderId="141" xfId="1704" applyFont="1" applyFill="1" applyBorder="1" applyAlignment="1">
      <alignment vertical="center"/>
    </xf>
    <xf numFmtId="0" fontId="130" fillId="0" borderId="145" xfId="1704" applyFont="1" applyFill="1" applyBorder="1" applyAlignment="1">
      <alignment horizontal="center" vertical="center" wrapText="1"/>
    </xf>
    <xf numFmtId="0" fontId="130" fillId="0" borderId="145" xfId="1704" applyFont="1" applyFill="1" applyBorder="1" applyAlignment="1">
      <alignment horizontal="left" vertical="center" wrapText="1"/>
    </xf>
    <xf numFmtId="41" fontId="131" fillId="0" borderId="0" xfId="1709" applyFont="1" applyFill="1" applyAlignment="1">
      <alignment wrapText="1"/>
    </xf>
    <xf numFmtId="0" fontId="131" fillId="0" borderId="0" xfId="1704" applyFont="1" applyFill="1" applyAlignment="1">
      <alignment wrapText="1"/>
    </xf>
    <xf numFmtId="0" fontId="130" fillId="0" borderId="141" xfId="1704" applyFont="1" applyFill="1" applyBorder="1" applyAlignment="1">
      <alignment horizontal="center" vertical="center" wrapText="1"/>
    </xf>
    <xf numFmtId="0" fontId="130" fillId="0" borderId="141" xfId="1704" applyFont="1" applyFill="1" applyBorder="1" applyAlignment="1">
      <alignment horizontal="left" vertical="center" wrapText="1"/>
    </xf>
    <xf numFmtId="0" fontId="130" fillId="0" borderId="141" xfId="1704" quotePrefix="1" applyFont="1" applyFill="1" applyBorder="1" applyAlignment="1">
      <alignment vertical="center" wrapText="1"/>
    </xf>
    <xf numFmtId="182" fontId="130" fillId="0" borderId="141" xfId="1921" applyNumberFormat="1" applyFont="1" applyFill="1" applyBorder="1" applyAlignment="1">
      <alignment vertical="center" wrapText="1"/>
    </xf>
    <xf numFmtId="182" fontId="128" fillId="0" borderId="141" xfId="1921" applyNumberFormat="1" applyFont="1" applyFill="1" applyBorder="1" applyAlignment="1">
      <alignment horizontal="center" vertical="center" wrapText="1"/>
    </xf>
    <xf numFmtId="0" fontId="130" fillId="0" borderId="145" xfId="1704" applyFont="1" applyFill="1" applyBorder="1" applyAlignment="1">
      <alignment vertical="center"/>
    </xf>
    <xf numFmtId="182" fontId="130" fillId="0" borderId="141" xfId="1921" applyNumberFormat="1" applyFont="1" applyFill="1" applyBorder="1" applyAlignment="1"/>
    <xf numFmtId="0" fontId="128" fillId="0" borderId="141" xfId="1704" applyFont="1" applyFill="1" applyBorder="1" applyAlignment="1">
      <alignment horizontal="center" wrapText="1"/>
    </xf>
    <xf numFmtId="0" fontId="128" fillId="0" borderId="141" xfId="1704" applyFont="1" applyFill="1" applyBorder="1" applyAlignment="1">
      <alignment vertical="center"/>
    </xf>
    <xf numFmtId="0" fontId="128" fillId="0" borderId="141" xfId="1704" applyFont="1" applyFill="1" applyBorder="1" applyAlignment="1">
      <alignment horizontal="center" vertical="center" wrapText="1"/>
    </xf>
    <xf numFmtId="0" fontId="128" fillId="0" borderId="145" xfId="1704" applyFont="1" applyFill="1" applyBorder="1" applyAlignment="1">
      <alignment horizontal="left" vertical="center"/>
    </xf>
    <xf numFmtId="0" fontId="130" fillId="0" borderId="145" xfId="1704" quotePrefix="1" applyFont="1" applyFill="1" applyBorder="1" applyAlignment="1">
      <alignment wrapText="1"/>
    </xf>
    <xf numFmtId="0" fontId="130" fillId="0" borderId="141" xfId="1704" applyFont="1" applyFill="1" applyBorder="1" applyAlignment="1">
      <alignment horizontal="center" vertical="center"/>
    </xf>
    <xf numFmtId="0" fontId="130" fillId="0" borderId="141" xfId="1704" applyFont="1" applyFill="1" applyBorder="1" applyAlignment="1">
      <alignment horizontal="left" vertical="center"/>
    </xf>
    <xf numFmtId="0" fontId="130" fillId="0" borderId="145" xfId="1704" applyFont="1" applyFill="1" applyBorder="1" applyAlignment="1">
      <alignment horizontal="left" vertical="center"/>
    </xf>
    <xf numFmtId="0" fontId="130" fillId="0" borderId="145" xfId="1704" applyFont="1" applyFill="1" applyBorder="1" applyAlignment="1">
      <alignment horizontal="center" vertical="center"/>
    </xf>
    <xf numFmtId="0" fontId="130" fillId="0" borderId="145" xfId="1704" applyFont="1" applyFill="1" applyBorder="1" applyAlignment="1">
      <alignment vertical="center" wrapText="1"/>
    </xf>
    <xf numFmtId="0" fontId="128" fillId="0" borderId="145" xfId="1704" applyFont="1" applyFill="1" applyBorder="1" applyAlignment="1">
      <alignment vertical="center" wrapText="1"/>
    </xf>
    <xf numFmtId="0" fontId="128" fillId="0" borderId="145" xfId="1704" applyFont="1" applyFill="1" applyBorder="1" applyAlignment="1">
      <alignment vertical="center"/>
    </xf>
    <xf numFmtId="0" fontId="130" fillId="0" borderId="10" xfId="1704" applyFont="1" applyFill="1" applyBorder="1" applyAlignment="1">
      <alignment horizontal="center" vertical="center"/>
    </xf>
    <xf numFmtId="0" fontId="130" fillId="0" borderId="10" xfId="1704" applyFont="1" applyFill="1" applyBorder="1" applyAlignment="1">
      <alignment horizontal="left" vertical="center"/>
    </xf>
    <xf numFmtId="0" fontId="130" fillId="0" borderId="141" xfId="1704" applyFont="1" applyFill="1" applyBorder="1" applyAlignment="1">
      <alignment vertical="center" wrapText="1"/>
    </xf>
    <xf numFmtId="0" fontId="130" fillId="0" borderId="141" xfId="1704" quotePrefix="1" applyFont="1" applyFill="1" applyBorder="1" applyAlignment="1">
      <alignment horizontal="left" wrapText="1"/>
    </xf>
    <xf numFmtId="0" fontId="128" fillId="0" borderId="141" xfId="1704" quotePrefix="1" applyFont="1" applyFill="1" applyBorder="1" applyAlignment="1">
      <alignment wrapText="1"/>
    </xf>
    <xf numFmtId="0" fontId="128" fillId="0" borderId="141" xfId="1704" quotePrefix="1" applyFont="1" applyFill="1" applyBorder="1" applyAlignment="1"/>
    <xf numFmtId="0" fontId="98" fillId="6" borderId="0" xfId="1704" applyFont="1" applyFill="1" applyAlignment="1">
      <alignment wrapText="1"/>
    </xf>
    <xf numFmtId="0" fontId="130" fillId="0" borderId="141" xfId="1704" quotePrefix="1" applyFont="1" applyFill="1" applyBorder="1" applyAlignment="1"/>
    <xf numFmtId="41" fontId="98" fillId="6" borderId="0" xfId="1709" applyFont="1" applyFill="1" applyAlignment="1">
      <alignment wrapText="1"/>
    </xf>
    <xf numFmtId="182" fontId="132" fillId="0" borderId="141" xfId="1704" applyNumberFormat="1" applyFont="1" applyFill="1" applyBorder="1" applyAlignment="1">
      <alignment wrapText="1"/>
    </xf>
    <xf numFmtId="43" fontId="98" fillId="0" borderId="0" xfId="1704" applyNumberFormat="1" applyAlignment="1">
      <alignment wrapText="1"/>
    </xf>
    <xf numFmtId="0" fontId="98" fillId="0" borderId="0" xfId="1704" applyAlignment="1">
      <alignment horizontal="center" wrapText="1"/>
    </xf>
    <xf numFmtId="0" fontId="98" fillId="0" borderId="0" xfId="1704" applyAlignment="1">
      <alignment vertical="center"/>
    </xf>
    <xf numFmtId="179" fontId="98" fillId="0" borderId="0" xfId="1704" applyNumberFormat="1" applyAlignment="1">
      <alignment wrapText="1"/>
    </xf>
    <xf numFmtId="182" fontId="0" fillId="0" borderId="0" xfId="1709" applyNumberFormat="1" applyFont="1" applyFill="1" applyAlignment="1">
      <alignment wrapText="1"/>
    </xf>
    <xf numFmtId="182" fontId="98" fillId="0" borderId="0" xfId="1704" applyNumberFormat="1" applyFont="1" applyAlignment="1">
      <alignment wrapText="1"/>
    </xf>
    <xf numFmtId="182" fontId="98" fillId="0" borderId="0" xfId="1704" applyNumberFormat="1" applyAlignment="1">
      <alignment wrapText="1"/>
    </xf>
    <xf numFmtId="0" fontId="130" fillId="0" borderId="141" xfId="1704" applyFont="1" applyFill="1" applyBorder="1" applyAlignment="1">
      <alignment horizontal="center" vertical="top" wrapText="1"/>
    </xf>
    <xf numFmtId="0" fontId="1" fillId="0" borderId="0" xfId="1906" applyFill="1"/>
    <xf numFmtId="0" fontId="133" fillId="0" borderId="141" xfId="1906" applyFont="1" applyFill="1" applyBorder="1" applyAlignment="1">
      <alignment horizontal="left" vertical="center"/>
    </xf>
    <xf numFmtId="164" fontId="133" fillId="0" borderId="141" xfId="1712" applyNumberFormat="1" applyFont="1" applyFill="1" applyBorder="1" applyAlignment="1">
      <alignment horizontal="center" vertical="center" wrapText="1"/>
    </xf>
    <xf numFmtId="0" fontId="133" fillId="0" borderId="141" xfId="1906" applyFont="1" applyFill="1" applyBorder="1" applyAlignment="1">
      <alignment horizontal="center" vertical="center"/>
    </xf>
    <xf numFmtId="0" fontId="1" fillId="0" borderId="141" xfId="1906" applyFill="1" applyBorder="1" applyAlignment="1">
      <alignment horizontal="left" vertical="center"/>
    </xf>
    <xf numFmtId="0" fontId="1" fillId="0" borderId="141" xfId="1906" applyFill="1" applyBorder="1" applyAlignment="1">
      <alignment horizontal="left"/>
    </xf>
    <xf numFmtId="179" fontId="0" fillId="0" borderId="0" xfId="1710" applyNumberFormat="1" applyFont="1" applyFill="1" applyAlignment="1">
      <alignment vertical="top"/>
    </xf>
    <xf numFmtId="179" fontId="0" fillId="0" borderId="141" xfId="1810" applyFont="1" applyFill="1" applyBorder="1"/>
    <xf numFmtId="0" fontId="1" fillId="0" borderId="141" xfId="1906" applyFill="1" applyBorder="1" applyAlignment="1"/>
    <xf numFmtId="0" fontId="1" fillId="0" borderId="145" xfId="1906" applyFill="1" applyBorder="1" applyAlignment="1">
      <alignment horizontal="left"/>
    </xf>
    <xf numFmtId="0" fontId="1" fillId="0" borderId="145" xfId="1906" applyFill="1" applyBorder="1"/>
    <xf numFmtId="0" fontId="1" fillId="0" borderId="141" xfId="1906" applyFill="1" applyBorder="1"/>
    <xf numFmtId="179" fontId="133" fillId="0" borderId="9" xfId="1906" applyNumberFormat="1" applyFont="1" applyFill="1" applyBorder="1" applyAlignment="1">
      <alignment vertical="center"/>
    </xf>
    <xf numFmtId="0" fontId="133" fillId="0" borderId="0" xfId="1906" applyFont="1" applyFill="1" applyAlignment="1">
      <alignment vertical="center"/>
    </xf>
    <xf numFmtId="0" fontId="1" fillId="0" borderId="0" xfId="1906" applyFill="1" applyAlignment="1">
      <alignment horizontal="left"/>
    </xf>
    <xf numFmtId="179" fontId="1" fillId="0" borderId="0" xfId="1906" applyNumberFormat="1" applyFill="1"/>
    <xf numFmtId="179" fontId="133" fillId="0" borderId="0" xfId="1906" applyNumberFormat="1" applyFont="1" applyFill="1"/>
    <xf numFmtId="0" fontId="1" fillId="0" borderId="0" xfId="1906" applyFill="1" applyAlignment="1">
      <alignment horizontal="center" vertical="center"/>
    </xf>
    <xf numFmtId="0" fontId="1" fillId="0" borderId="0" xfId="1906" applyFill="1" applyAlignment="1"/>
    <xf numFmtId="164" fontId="0" fillId="0" borderId="0" xfId="1712" applyNumberFormat="1" applyFont="1" applyFill="1" applyAlignment="1"/>
    <xf numFmtId="164" fontId="0" fillId="0" borderId="0" xfId="1712" applyNumberFormat="1" applyFont="1" applyFill="1"/>
    <xf numFmtId="0" fontId="110" fillId="0" borderId="141" xfId="1704" applyFont="1" applyFill="1" applyBorder="1" applyAlignment="1">
      <alignment horizontal="center" wrapText="1"/>
    </xf>
    <xf numFmtId="0" fontId="98" fillId="0" borderId="0" xfId="1704" applyFill="1"/>
    <xf numFmtId="0" fontId="98" fillId="0" borderId="10" xfId="1704" applyFill="1" applyBorder="1"/>
    <xf numFmtId="0" fontId="98" fillId="0" borderId="10" xfId="1704" applyFont="1" applyFill="1" applyBorder="1"/>
    <xf numFmtId="43" fontId="0" fillId="0" borderId="141" xfId="1710" applyFont="1" applyFill="1" applyBorder="1"/>
    <xf numFmtId="43" fontId="110" fillId="0" borderId="141" xfId="1704" applyNumberFormat="1" applyFont="1" applyFill="1" applyBorder="1"/>
    <xf numFmtId="164" fontId="98" fillId="0" borderId="141" xfId="1712" applyNumberFormat="1" applyFont="1" applyFill="1" applyBorder="1"/>
    <xf numFmtId="0" fontId="98" fillId="0" borderId="141" xfId="1704" applyFill="1" applyBorder="1"/>
    <xf numFmtId="0" fontId="98" fillId="0" borderId="141" xfId="1704" applyFont="1" applyFill="1" applyBorder="1"/>
    <xf numFmtId="0" fontId="110" fillId="0" borderId="141" xfId="1704" applyFont="1" applyFill="1" applyBorder="1" applyAlignment="1">
      <alignment horizontal="center"/>
    </xf>
    <xf numFmtId="179" fontId="98" fillId="0" borderId="0" xfId="1704" applyNumberFormat="1" applyFill="1"/>
    <xf numFmtId="0" fontId="98" fillId="0" borderId="0" xfId="1704" applyFont="1" applyFill="1"/>
    <xf numFmtId="43" fontId="98" fillId="0" borderId="0" xfId="1704" applyNumberFormat="1" applyFill="1"/>
    <xf numFmtId="0" fontId="134" fillId="0" borderId="0" xfId="0" applyFont="1" applyAlignment="1">
      <alignment horizontal="left" readingOrder="2"/>
    </xf>
    <xf numFmtId="0" fontId="101" fillId="2" borderId="141" xfId="1704" applyFont="1" applyFill="1" applyBorder="1" applyAlignment="1">
      <alignment horizontal="center" vertical="center"/>
    </xf>
    <xf numFmtId="0" fontId="12" fillId="0" borderId="0" xfId="1069" applyFont="1" applyAlignment="1">
      <alignment horizontal="right"/>
    </xf>
    <xf numFmtId="0" fontId="101" fillId="2" borderId="10" xfId="1704" applyFont="1" applyFill="1" applyBorder="1" applyAlignment="1">
      <alignment vertical="center"/>
    </xf>
    <xf numFmtId="0" fontId="101" fillId="2" borderId="155" xfId="1704" applyFont="1" applyFill="1" applyBorder="1" applyAlignment="1">
      <alignment horizontal="center" vertical="center"/>
    </xf>
    <xf numFmtId="0" fontId="122" fillId="3" borderId="156" xfId="1704" applyFont="1" applyFill="1" applyBorder="1" applyAlignment="1">
      <alignment vertical="center" wrapText="1"/>
    </xf>
    <xf numFmtId="0" fontId="123" fillId="3" borderId="136" xfId="1704" applyFont="1" applyFill="1" applyBorder="1" applyAlignment="1">
      <alignment horizontal="left" vertical="center" wrapText="1"/>
    </xf>
    <xf numFmtId="0" fontId="123" fillId="3" borderId="10" xfId="1704" applyFont="1" applyFill="1" applyBorder="1" applyAlignment="1">
      <alignment horizontal="left" vertical="center" wrapText="1"/>
    </xf>
    <xf numFmtId="0" fontId="122" fillId="3" borderId="156" xfId="1704" applyFont="1" applyFill="1" applyBorder="1" applyAlignment="1">
      <alignment horizontal="left" vertical="center" wrapText="1"/>
    </xf>
    <xf numFmtId="0" fontId="122" fillId="0" borderId="156" xfId="1704" applyFont="1" applyFill="1" applyBorder="1" applyAlignment="1">
      <alignment horizontal="left" vertical="center" wrapText="1"/>
    </xf>
    <xf numFmtId="0" fontId="123" fillId="0" borderId="156" xfId="1704" applyFont="1" applyFill="1" applyBorder="1" applyAlignment="1">
      <alignment horizontal="left" vertical="center" wrapText="1"/>
    </xf>
    <xf numFmtId="0" fontId="122" fillId="0" borderId="157" xfId="1704" applyFont="1" applyFill="1" applyBorder="1" applyAlignment="1">
      <alignment horizontal="left" vertical="center" wrapText="1"/>
    </xf>
    <xf numFmtId="0" fontId="122" fillId="0" borderId="136" xfId="1704" applyFont="1" applyFill="1" applyBorder="1" applyAlignment="1">
      <alignment horizontal="left" vertical="center" wrapText="1"/>
    </xf>
    <xf numFmtId="0" fontId="123" fillId="0" borderId="10" xfId="1704" applyFont="1" applyFill="1" applyBorder="1" applyAlignment="1">
      <alignment horizontal="left" vertical="center" wrapText="1"/>
    </xf>
    <xf numFmtId="0" fontId="122" fillId="5" borderId="156" xfId="1704" applyFont="1" applyFill="1" applyBorder="1" applyAlignment="1">
      <alignment vertical="center" wrapText="1"/>
    </xf>
    <xf numFmtId="0" fontId="123" fillId="3" borderId="29" xfId="1704" applyFont="1" applyFill="1" applyBorder="1" applyAlignment="1">
      <alignment vertical="center" wrapText="1"/>
    </xf>
    <xf numFmtId="0" fontId="1" fillId="0" borderId="156" xfId="1906" applyFill="1" applyBorder="1" applyAlignment="1">
      <alignment horizontal="left"/>
    </xf>
    <xf numFmtId="179" fontId="0" fillId="0" borderId="158" xfId="1710" applyNumberFormat="1" applyFont="1" applyFill="1" applyBorder="1" applyAlignment="1">
      <alignment vertical="top"/>
    </xf>
    <xf numFmtId="179" fontId="0" fillId="0" borderId="156" xfId="1810" applyFont="1" applyFill="1" applyBorder="1"/>
    <xf numFmtId="179" fontId="0" fillId="0" borderId="156" xfId="1710" applyNumberFormat="1" applyFont="1" applyFill="1" applyBorder="1" applyAlignment="1">
      <alignment vertical="top"/>
    </xf>
    <xf numFmtId="179" fontId="0" fillId="0" borderId="159" xfId="1810" applyFont="1" applyFill="1" applyBorder="1"/>
    <xf numFmtId="179" fontId="0" fillId="0" borderId="136" xfId="1710" applyNumberFormat="1" applyFont="1" applyFill="1" applyBorder="1" applyAlignment="1">
      <alignment vertical="top"/>
    </xf>
    <xf numFmtId="0" fontId="1" fillId="0" borderId="156" xfId="1906" applyFill="1" applyBorder="1" applyAlignment="1"/>
    <xf numFmtId="0" fontId="2" fillId="0" borderId="10" xfId="1383" applyFill="1" applyBorder="1" applyAlignment="1">
      <alignment horizontal="center"/>
    </xf>
    <xf numFmtId="0" fontId="2" fillId="0" borderId="10" xfId="1383" applyFill="1" applyBorder="1" applyAlignment="1">
      <alignment horizontal="left"/>
    </xf>
    <xf numFmtId="164" fontId="0" fillId="0" borderId="10" xfId="65" applyNumberFormat="1" applyFont="1" applyFill="1" applyBorder="1" applyAlignment="1"/>
    <xf numFmtId="0" fontId="2" fillId="0" borderId="157" xfId="1383" applyFill="1" applyBorder="1" applyAlignment="1">
      <alignment horizontal="center"/>
    </xf>
    <xf numFmtId="0" fontId="2" fillId="0" borderId="157" xfId="1383" applyFill="1" applyBorder="1" applyAlignment="1">
      <alignment horizontal="left"/>
    </xf>
    <xf numFmtId="164" fontId="0" fillId="0" borderId="157" xfId="65" applyNumberFormat="1" applyFont="1" applyFill="1" applyBorder="1" applyAlignment="1"/>
    <xf numFmtId="0" fontId="2" fillId="0" borderId="10" xfId="1383" applyBorder="1" applyAlignment="1">
      <alignment horizontal="center" vertical="center"/>
    </xf>
    <xf numFmtId="164" fontId="0" fillId="0" borderId="10" xfId="65" applyNumberFormat="1" applyFont="1" applyFill="1" applyBorder="1"/>
    <xf numFmtId="0" fontId="2" fillId="0" borderId="157" xfId="1383" applyBorder="1" applyAlignment="1">
      <alignment horizontal="center" vertical="center"/>
    </xf>
    <xf numFmtId="164" fontId="0" fillId="0" borderId="157" xfId="65" applyNumberFormat="1" applyFont="1" applyFill="1" applyBorder="1"/>
    <xf numFmtId="0" fontId="1" fillId="0" borderId="10" xfId="1906" applyFill="1" applyBorder="1" applyAlignment="1">
      <alignment horizontal="left"/>
    </xf>
    <xf numFmtId="43" fontId="0" fillId="0" borderId="10" xfId="1710" applyFont="1" applyFill="1" applyBorder="1"/>
    <xf numFmtId="43" fontId="110" fillId="0" borderId="10" xfId="1704" applyNumberFormat="1" applyFont="1" applyFill="1" applyBorder="1"/>
    <xf numFmtId="0" fontId="1" fillId="0" borderId="157" xfId="1906" applyFill="1" applyBorder="1" applyAlignment="1">
      <alignment horizontal="left"/>
    </xf>
    <xf numFmtId="43" fontId="0" fillId="0" borderId="157" xfId="1710" applyFont="1" applyFill="1" applyBorder="1"/>
    <xf numFmtId="43" fontId="110" fillId="0" borderId="157" xfId="1704" applyNumberFormat="1" applyFont="1" applyFill="1" applyBorder="1"/>
    <xf numFmtId="0" fontId="2" fillId="0" borderId="10" xfId="1383" applyBorder="1" applyAlignment="1">
      <alignment horizontal="left" vertical="center"/>
    </xf>
    <xf numFmtId="0" fontId="2" fillId="0" borderId="27" xfId="1383" applyBorder="1" applyAlignment="1">
      <alignment horizontal="left"/>
    </xf>
    <xf numFmtId="179" fontId="0" fillId="0" borderId="10" xfId="813" applyFont="1" applyBorder="1"/>
    <xf numFmtId="0" fontId="2" fillId="0" borderId="157" xfId="1383" applyBorder="1" applyAlignment="1">
      <alignment horizontal="left" vertical="center"/>
    </xf>
    <xf numFmtId="0" fontId="2" fillId="0" borderId="160" xfId="1383" applyBorder="1" applyAlignment="1">
      <alignment horizontal="left"/>
    </xf>
    <xf numFmtId="179" fontId="0" fillId="0" borderId="157" xfId="813" applyFont="1" applyBorder="1"/>
    <xf numFmtId="0" fontId="2" fillId="0" borderId="10" xfId="1383" applyFill="1" applyBorder="1" applyAlignment="1">
      <alignment horizontal="center" vertical="center"/>
    </xf>
    <xf numFmtId="0" fontId="2" fillId="0" borderId="10" xfId="1383" applyFill="1" applyBorder="1" applyAlignment="1"/>
    <xf numFmtId="179" fontId="0" fillId="0" borderId="10" xfId="813" applyFont="1" applyFill="1" applyBorder="1" applyAlignment="1"/>
    <xf numFmtId="0" fontId="2" fillId="0" borderId="157" xfId="1383" applyFill="1" applyBorder="1" applyAlignment="1">
      <alignment horizontal="center" vertical="center"/>
    </xf>
    <xf numFmtId="0" fontId="2" fillId="0" borderId="157" xfId="1383" applyFill="1" applyBorder="1" applyAlignment="1"/>
    <xf numFmtId="179" fontId="0" fillId="0" borderId="157" xfId="813" applyFont="1" applyFill="1" applyBorder="1" applyAlignment="1"/>
    <xf numFmtId="0" fontId="119" fillId="0" borderId="0" xfId="1918" applyFont="1" applyFill="1" applyAlignment="1">
      <alignment vertical="center"/>
    </xf>
    <xf numFmtId="1" fontId="95" fillId="4" borderId="29" xfId="1700" applyNumberFormat="1" applyFont="1" applyFill="1" applyBorder="1" applyAlignment="1">
      <alignment horizontal="center" vertical="top"/>
    </xf>
    <xf numFmtId="191" fontId="95" fillId="4" borderId="29" xfId="1700" applyNumberFormat="1" applyFont="1" applyFill="1" applyBorder="1" applyAlignment="1">
      <alignment horizontal="left" vertical="top"/>
    </xf>
    <xf numFmtId="0" fontId="95" fillId="4" borderId="29" xfId="1700" applyFont="1" applyFill="1" applyBorder="1" applyAlignment="1">
      <alignment vertical="top" wrapText="1"/>
    </xf>
    <xf numFmtId="43" fontId="95" fillId="18" borderId="29" xfId="1701" applyFont="1" applyFill="1" applyBorder="1" applyAlignment="1">
      <alignment horizontal="right" vertical="top"/>
    </xf>
    <xf numFmtId="0" fontId="95" fillId="4" borderId="29" xfId="1700" applyFont="1" applyFill="1" applyBorder="1">
      <alignment vertical="top"/>
    </xf>
    <xf numFmtId="43" fontId="95" fillId="6" borderId="29" xfId="1701" applyFont="1" applyFill="1" applyBorder="1" applyAlignment="1">
      <alignment horizontal="right" vertical="top"/>
    </xf>
    <xf numFmtId="43" fontId="95" fillId="4" borderId="29" xfId="1701" applyFont="1" applyFill="1" applyBorder="1" applyAlignment="1">
      <alignment horizontal="right" vertical="top"/>
    </xf>
    <xf numFmtId="0" fontId="95" fillId="4" borderId="29" xfId="1700" applyFont="1" applyFill="1" applyBorder="1" applyAlignment="1">
      <alignment vertical="top" wrapText="1" readingOrder="1"/>
    </xf>
    <xf numFmtId="0" fontId="16" fillId="3" borderId="29" xfId="1100" applyFont="1" applyFill="1" applyBorder="1" applyAlignment="1">
      <alignment horizontal="center"/>
    </xf>
    <xf numFmtId="0" fontId="16" fillId="3" borderId="29" xfId="1100" applyFont="1" applyFill="1" applyBorder="1" applyAlignment="1">
      <alignment wrapText="1"/>
    </xf>
    <xf numFmtId="43" fontId="16" fillId="3" borderId="29" xfId="1100" applyNumberFormat="1" applyFont="1" applyFill="1" applyBorder="1"/>
    <xf numFmtId="49" fontId="44" fillId="3" borderId="136" xfId="3" applyNumberFormat="1" applyFont="1" applyFill="1" applyBorder="1" applyAlignment="1">
      <alignment horizontal="center" vertical="center"/>
    </xf>
    <xf numFmtId="41" fontId="44" fillId="3" borderId="136" xfId="6" applyFont="1" applyFill="1" applyBorder="1" applyAlignment="1">
      <alignment horizontal="left" vertical="center"/>
    </xf>
    <xf numFmtId="43" fontId="46" fillId="3" borderId="10" xfId="3" applyFont="1" applyFill="1" applyBorder="1" applyAlignment="1">
      <alignment horizontal="center" vertical="center"/>
    </xf>
    <xf numFmtId="41" fontId="56" fillId="3" borderId="150" xfId="6" applyFont="1" applyFill="1" applyBorder="1" applyAlignment="1">
      <alignment vertical="center" wrapText="1"/>
    </xf>
    <xf numFmtId="0" fontId="44" fillId="3" borderId="28" xfId="0" applyFont="1" applyFill="1" applyBorder="1" applyAlignment="1">
      <alignment horizontal="center" vertical="center"/>
    </xf>
    <xf numFmtId="49" fontId="44" fillId="3" borderId="29" xfId="3" applyNumberFormat="1" applyFont="1" applyFill="1" applyBorder="1" applyAlignment="1">
      <alignment horizontal="center" vertical="center"/>
    </xf>
    <xf numFmtId="41" fontId="44" fillId="3" borderId="29" xfId="6" applyFont="1" applyFill="1" applyBorder="1" applyAlignment="1">
      <alignment horizontal="left" vertical="center"/>
    </xf>
    <xf numFmtId="43" fontId="46" fillId="3" borderId="157" xfId="3" applyFont="1" applyFill="1" applyBorder="1" applyAlignment="1">
      <alignment horizontal="center" vertical="center"/>
    </xf>
    <xf numFmtId="14" fontId="44" fillId="3" borderId="157" xfId="0" applyNumberFormat="1" applyFont="1" applyFill="1" applyBorder="1" applyAlignment="1">
      <alignment horizontal="center" vertical="center"/>
    </xf>
    <xf numFmtId="41" fontId="56" fillId="3" borderId="30" xfId="6" applyFont="1" applyFill="1" applyBorder="1" applyAlignment="1">
      <alignment vertical="center" wrapText="1"/>
    </xf>
    <xf numFmtId="0" fontId="2" fillId="0" borderId="149" xfId="1383" applyFill="1" applyBorder="1" applyAlignment="1"/>
    <xf numFmtId="0" fontId="12" fillId="3" borderId="0" xfId="1100" applyFont="1" applyFill="1" applyAlignment="1">
      <alignment horizontal="right"/>
    </xf>
    <xf numFmtId="0" fontId="0" fillId="4" borderId="0" xfId="1197" applyFont="1" applyFill="1" applyAlignment="1">
      <alignment horizontal="center" vertical="center"/>
    </xf>
    <xf numFmtId="0" fontId="3" fillId="3" borderId="0" xfId="1197" applyFont="1" applyFill="1" applyAlignment="1">
      <alignment horizontal="center"/>
    </xf>
    <xf numFmtId="0" fontId="19" fillId="5" borderId="128" xfId="1197" applyFont="1" applyFill="1" applyBorder="1" applyAlignment="1">
      <alignment horizontal="center" vertical="center"/>
    </xf>
    <xf numFmtId="0" fontId="19" fillId="5" borderId="129" xfId="1197" applyFont="1" applyFill="1" applyBorder="1" applyAlignment="1">
      <alignment horizontal="center" vertical="center"/>
    </xf>
    <xf numFmtId="0" fontId="3" fillId="0" borderId="0" xfId="1069" applyFont="1" applyBorder="1" applyAlignment="1">
      <alignment horizontal="center" vertical="center"/>
    </xf>
    <xf numFmtId="0" fontId="14" fillId="5" borderId="61" xfId="1069" applyFont="1" applyFill="1" applyBorder="1" applyAlignment="1">
      <alignment horizontal="center" vertical="center"/>
    </xf>
    <xf numFmtId="0" fontId="14" fillId="5" borderId="26" xfId="1069" applyFont="1" applyFill="1" applyBorder="1" applyAlignment="1">
      <alignment horizontal="center" vertical="center"/>
    </xf>
    <xf numFmtId="0" fontId="14" fillId="5" borderId="62" xfId="1069" applyFont="1" applyFill="1" applyBorder="1" applyAlignment="1">
      <alignment horizontal="center" vertical="center"/>
    </xf>
    <xf numFmtId="0" fontId="14" fillId="5" borderId="10" xfId="1069" applyFont="1" applyFill="1" applyBorder="1" applyAlignment="1">
      <alignment horizontal="center" vertical="center"/>
    </xf>
    <xf numFmtId="0" fontId="14" fillId="5" borderId="81" xfId="1069" applyFont="1" applyFill="1" applyBorder="1" applyAlignment="1">
      <alignment horizontal="center" vertical="center"/>
    </xf>
    <xf numFmtId="0" fontId="14" fillId="5" borderId="20" xfId="1069" applyFont="1" applyFill="1" applyBorder="1" applyAlignment="1">
      <alignment horizontal="center" vertical="center"/>
    </xf>
    <xf numFmtId="43" fontId="11" fillId="0" borderId="33" xfId="1069" applyNumberFormat="1" applyFont="1" applyBorder="1" applyAlignment="1">
      <alignment horizontal="center" vertical="center"/>
    </xf>
    <xf numFmtId="43" fontId="11" fillId="0" borderId="6" xfId="1069" applyNumberFormat="1" applyFont="1" applyBorder="1" applyAlignment="1">
      <alignment horizontal="center" vertical="center"/>
    </xf>
    <xf numFmtId="43" fontId="11" fillId="0" borderId="31" xfId="1069" applyNumberFormat="1" applyFont="1" applyBorder="1" applyAlignment="1">
      <alignment horizontal="center" vertical="center"/>
    </xf>
    <xf numFmtId="0" fontId="14" fillId="5" borderId="62" xfId="1069" applyFont="1" applyFill="1" applyBorder="1" applyAlignment="1">
      <alignment horizontal="center" vertical="center" wrapText="1"/>
    </xf>
    <xf numFmtId="0" fontId="14" fillId="5" borderId="10" xfId="1069" applyFont="1" applyFill="1" applyBorder="1" applyAlignment="1">
      <alignment horizontal="center" vertical="center" wrapText="1"/>
    </xf>
    <xf numFmtId="43" fontId="11" fillId="0" borderId="29" xfId="1069" applyNumberFormat="1" applyFont="1" applyBorder="1" applyAlignment="1">
      <alignment horizontal="center" vertical="center"/>
    </xf>
    <xf numFmtId="0" fontId="14" fillId="5" borderId="5" xfId="1069" applyFont="1" applyFill="1" applyBorder="1" applyAlignment="1">
      <alignment horizontal="center" vertical="center"/>
    </xf>
    <xf numFmtId="0" fontId="73" fillId="0" borderId="0" xfId="1085" applyFont="1" applyAlignment="1">
      <alignment horizontal="center"/>
    </xf>
    <xf numFmtId="0" fontId="5" fillId="16" borderId="2" xfId="1085" applyFont="1" applyFill="1" applyBorder="1" applyAlignment="1">
      <alignment horizontal="center" vertical="center" wrapText="1"/>
    </xf>
    <xf numFmtId="0" fontId="5" fillId="16" borderId="4" xfId="1085" applyFont="1" applyFill="1" applyBorder="1" applyAlignment="1">
      <alignment horizontal="center" vertical="center" wrapText="1"/>
    </xf>
    <xf numFmtId="0" fontId="5" fillId="16" borderId="3" xfId="1085" applyFont="1" applyFill="1" applyBorder="1" applyAlignment="1">
      <alignment horizontal="center" vertical="center" wrapText="1"/>
    </xf>
    <xf numFmtId="0" fontId="78" fillId="4" borderId="2" xfId="1085" applyFont="1" applyFill="1" applyBorder="1" applyAlignment="1">
      <alignment horizontal="center" vertical="center"/>
    </xf>
    <xf numFmtId="0" fontId="78" fillId="4" borderId="3" xfId="1085" applyFont="1" applyFill="1" applyBorder="1" applyAlignment="1">
      <alignment horizontal="center" vertical="center"/>
    </xf>
    <xf numFmtId="0" fontId="5" fillId="16" borderId="5" xfId="1085" applyFont="1" applyFill="1" applyBorder="1" applyAlignment="1">
      <alignment horizontal="center" vertical="center" wrapText="1"/>
    </xf>
    <xf numFmtId="0" fontId="5" fillId="16" borderId="10" xfId="1085" applyFont="1" applyFill="1" applyBorder="1" applyAlignment="1">
      <alignment horizontal="center" vertical="center" wrapText="1"/>
    </xf>
    <xf numFmtId="0" fontId="67" fillId="0" borderId="0" xfId="1358" applyFont="1" applyAlignment="1">
      <alignment horizontal="center" vertical="top"/>
    </xf>
    <xf numFmtId="0" fontId="64" fillId="0" borderId="2" xfId="1358" applyFont="1" applyBorder="1" applyAlignment="1">
      <alignment horizontal="center" vertical="top"/>
    </xf>
    <xf numFmtId="0" fontId="64" fillId="0" borderId="4" xfId="1358" applyFont="1" applyBorder="1" applyAlignment="1">
      <alignment horizontal="center" vertical="top"/>
    </xf>
    <xf numFmtId="0" fontId="64" fillId="0" borderId="3" xfId="1358" applyFont="1" applyBorder="1" applyAlignment="1">
      <alignment horizontal="center" vertical="top"/>
    </xf>
    <xf numFmtId="0" fontId="70" fillId="15" borderId="5" xfId="1358" applyFont="1" applyFill="1" applyBorder="1" applyAlignment="1">
      <alignment horizontal="center" vertical="center" wrapText="1" readingOrder="1"/>
    </xf>
    <xf numFmtId="0" fontId="70" fillId="15" borderId="10" xfId="1358" applyFont="1" applyFill="1" applyBorder="1" applyAlignment="1">
      <alignment horizontal="center" vertical="center" wrapText="1" readingOrder="1"/>
    </xf>
    <xf numFmtId="0" fontId="18" fillId="0" borderId="0" xfId="1069" applyFont="1" applyAlignment="1">
      <alignment horizontal="center"/>
    </xf>
    <xf numFmtId="0" fontId="30" fillId="5" borderId="2" xfId="1069" applyFont="1" applyFill="1" applyBorder="1" applyAlignment="1">
      <alignment horizontal="center" vertical="top" wrapText="1" readingOrder="1"/>
    </xf>
    <xf numFmtId="0" fontId="30" fillId="5" borderId="4" xfId="1069" applyFont="1" applyFill="1" applyBorder="1" applyAlignment="1">
      <alignment horizontal="center" vertical="top" wrapText="1" readingOrder="1"/>
    </xf>
    <xf numFmtId="0" fontId="30" fillId="5" borderId="3" xfId="1069" applyFont="1" applyFill="1" applyBorder="1" applyAlignment="1">
      <alignment horizontal="center" vertical="top" wrapText="1" readingOrder="1"/>
    </xf>
    <xf numFmtId="0" fontId="18" fillId="5" borderId="5" xfId="1069" applyFont="1" applyFill="1" applyBorder="1" applyAlignment="1">
      <alignment horizontal="center" vertical="center"/>
    </xf>
    <xf numFmtId="0" fontId="18" fillId="5" borderId="10" xfId="1069" applyFont="1" applyFill="1" applyBorder="1" applyAlignment="1">
      <alignment horizontal="center" vertical="center"/>
    </xf>
    <xf numFmtId="0" fontId="18" fillId="5" borderId="5" xfId="1069" applyFont="1" applyFill="1" applyBorder="1" applyAlignment="1">
      <alignment horizontal="center" vertical="center" wrapText="1"/>
    </xf>
    <xf numFmtId="0" fontId="18" fillId="5" borderId="10" xfId="1069" applyFont="1" applyFill="1" applyBorder="1" applyAlignment="1">
      <alignment horizontal="center" vertical="center" wrapText="1"/>
    </xf>
    <xf numFmtId="182" fontId="18" fillId="0" borderId="0" xfId="84" applyNumberFormat="1" applyFont="1" applyAlignment="1">
      <alignment horizontal="center"/>
    </xf>
    <xf numFmtId="0" fontId="33" fillId="5" borderId="1" xfId="1100" applyFont="1" applyFill="1" applyBorder="1" applyAlignment="1">
      <alignment horizontal="center" vertical="center" wrapText="1"/>
    </xf>
    <xf numFmtId="0" fontId="33" fillId="0" borderId="1" xfId="1100" applyFont="1" applyBorder="1" applyAlignment="1">
      <alignment horizontal="center" wrapText="1"/>
    </xf>
    <xf numFmtId="0" fontId="33" fillId="0" borderId="55" xfId="1100" applyFont="1" applyBorder="1" applyAlignment="1">
      <alignment horizontal="left" wrapText="1"/>
    </xf>
    <xf numFmtId="0" fontId="33" fillId="0" borderId="1" xfId="1100" applyFont="1" applyFill="1" applyBorder="1" applyAlignment="1">
      <alignment horizontal="center" wrapText="1"/>
    </xf>
    <xf numFmtId="0" fontId="43" fillId="0" borderId="0" xfId="1356" applyFont="1" applyAlignment="1">
      <alignment horizontal="center"/>
    </xf>
    <xf numFmtId="0" fontId="51" fillId="3" borderId="0" xfId="0" applyFont="1" applyFill="1" applyAlignment="1">
      <alignment horizontal="center" vertical="center"/>
    </xf>
    <xf numFmtId="0" fontId="46" fillId="0" borderId="5" xfId="0" applyFont="1" applyFill="1" applyBorder="1" applyAlignment="1">
      <alignment horizontal="left" vertical="center" wrapText="1"/>
    </xf>
    <xf numFmtId="0" fontId="46" fillId="0" borderId="6" xfId="0" applyFont="1" applyFill="1" applyBorder="1" applyAlignment="1">
      <alignment horizontal="left" vertical="center" wrapText="1"/>
    </xf>
    <xf numFmtId="0" fontId="44" fillId="3" borderId="5" xfId="0" applyFont="1" applyFill="1" applyBorder="1" applyAlignment="1">
      <alignment horizontal="left" vertical="center" wrapText="1"/>
    </xf>
    <xf numFmtId="0" fontId="44" fillId="3" borderId="6" xfId="0" applyFont="1" applyFill="1" applyBorder="1" applyAlignment="1">
      <alignment horizontal="left" vertical="center" wrapText="1"/>
    </xf>
    <xf numFmtId="0" fontId="44" fillId="3" borderId="10" xfId="0" applyFont="1" applyFill="1" applyBorder="1" applyAlignment="1">
      <alignment horizontal="left" vertical="center" wrapText="1"/>
    </xf>
    <xf numFmtId="41" fontId="44" fillId="3" borderId="62" xfId="6" applyFont="1" applyFill="1" applyBorder="1" applyAlignment="1">
      <alignment horizontal="center" vertical="center" wrapText="1"/>
    </xf>
    <xf numFmtId="41" fontId="44" fillId="3" borderId="10" xfId="6" applyFont="1" applyFill="1" applyBorder="1" applyAlignment="1">
      <alignment horizontal="center" vertical="center"/>
    </xf>
    <xf numFmtId="0" fontId="44" fillId="3" borderId="62" xfId="0" applyFont="1" applyFill="1" applyBorder="1" applyAlignment="1">
      <alignment horizontal="center" vertical="center" wrapText="1"/>
    </xf>
    <xf numFmtId="0" fontId="44" fillId="3" borderId="10" xfId="0" applyFont="1" applyFill="1" applyBorder="1" applyAlignment="1">
      <alignment horizontal="center" vertical="center"/>
    </xf>
    <xf numFmtId="0" fontId="44" fillId="3" borderId="61" xfId="0" applyFont="1" applyFill="1" applyBorder="1" applyAlignment="1">
      <alignment horizontal="center" vertical="center"/>
    </xf>
    <xf numFmtId="0" fontId="44" fillId="3" borderId="26" xfId="0" applyFont="1" applyFill="1" applyBorder="1" applyAlignment="1">
      <alignment horizontal="center" vertical="center"/>
    </xf>
    <xf numFmtId="0" fontId="44" fillId="3" borderId="62" xfId="0" applyFont="1" applyFill="1" applyBorder="1" applyAlignment="1">
      <alignment horizontal="center" vertical="center"/>
    </xf>
    <xf numFmtId="41" fontId="44" fillId="3" borderId="5" xfId="6" applyFont="1" applyFill="1" applyBorder="1" applyAlignment="1">
      <alignment horizontal="left" vertical="center" wrapText="1"/>
    </xf>
    <xf numFmtId="41" fontId="44" fillId="3" borderId="6" xfId="6" applyFont="1" applyFill="1" applyBorder="1" applyAlignment="1">
      <alignment horizontal="left" vertical="center" wrapText="1"/>
    </xf>
    <xf numFmtId="41" fontId="44" fillId="3" borderId="10" xfId="6" applyFont="1" applyFill="1" applyBorder="1" applyAlignment="1">
      <alignment horizontal="left" vertical="center" wrapText="1"/>
    </xf>
    <xf numFmtId="41" fontId="44" fillId="3" borderId="5" xfId="6" applyFont="1" applyFill="1" applyBorder="1" applyAlignment="1">
      <alignment vertical="center" wrapText="1"/>
    </xf>
    <xf numFmtId="41" fontId="44" fillId="3" borderId="10" xfId="6" applyFont="1" applyFill="1" applyBorder="1" applyAlignment="1">
      <alignment vertical="center" wrapText="1"/>
    </xf>
    <xf numFmtId="0" fontId="44" fillId="3" borderId="5" xfId="0" applyFont="1" applyFill="1" applyBorder="1" applyAlignment="1">
      <alignment horizontal="left" vertical="top" wrapText="1"/>
    </xf>
    <xf numFmtId="0" fontId="44" fillId="3" borderId="6" xfId="0" applyFont="1" applyFill="1" applyBorder="1" applyAlignment="1">
      <alignment horizontal="left" vertical="top" wrapText="1"/>
    </xf>
    <xf numFmtId="0" fontId="44" fillId="3" borderId="10" xfId="0" applyFont="1" applyFill="1" applyBorder="1" applyAlignment="1">
      <alignment horizontal="left" vertical="top" wrapText="1"/>
    </xf>
    <xf numFmtId="43" fontId="46" fillId="3" borderId="109" xfId="3" applyFont="1" applyFill="1" applyBorder="1" applyAlignment="1">
      <alignment horizontal="left" vertical="top" wrapText="1"/>
    </xf>
    <xf numFmtId="43" fontId="46" fillId="3" borderId="55" xfId="3" applyFont="1" applyFill="1" applyBorder="1" applyAlignment="1">
      <alignment horizontal="left" vertical="top"/>
    </xf>
    <xf numFmtId="43" fontId="46" fillId="3" borderId="5" xfId="3" applyFont="1" applyFill="1" applyBorder="1" applyAlignment="1">
      <alignment horizontal="left" vertical="top" wrapText="1"/>
    </xf>
    <xf numFmtId="43" fontId="46" fillId="3" borderId="6" xfId="3" applyFont="1" applyFill="1" applyBorder="1" applyAlignment="1">
      <alignment horizontal="left" vertical="top" wrapText="1"/>
    </xf>
    <xf numFmtId="41" fontId="44" fillId="3" borderId="5" xfId="6" applyFont="1" applyFill="1" applyBorder="1" applyAlignment="1">
      <alignment horizontal="left" vertical="top" wrapText="1"/>
    </xf>
    <xf numFmtId="41" fontId="44" fillId="3" borderId="6" xfId="6" applyFont="1" applyFill="1" applyBorder="1" applyAlignment="1">
      <alignment horizontal="left" vertical="top" wrapText="1"/>
    </xf>
    <xf numFmtId="0" fontId="44" fillId="3" borderId="5" xfId="0" applyFont="1" applyFill="1" applyBorder="1" applyAlignment="1">
      <alignment vertical="top" wrapText="1"/>
    </xf>
    <xf numFmtId="0" fontId="44" fillId="3" borderId="6" xfId="0" applyFont="1" applyFill="1" applyBorder="1" applyAlignment="1">
      <alignment vertical="top" wrapText="1"/>
    </xf>
    <xf numFmtId="0" fontId="44" fillId="0" borderId="5" xfId="0" applyFont="1" applyBorder="1" applyAlignment="1">
      <alignment horizontal="left" vertical="top" wrapText="1"/>
    </xf>
    <xf numFmtId="0" fontId="44" fillId="0" borderId="6" xfId="0" applyFont="1" applyBorder="1" applyAlignment="1">
      <alignment horizontal="left" vertical="top" wrapText="1"/>
    </xf>
    <xf numFmtId="0" fontId="44" fillId="3" borderId="62" xfId="0" applyFont="1" applyFill="1" applyBorder="1" applyAlignment="1">
      <alignment horizontal="left" vertical="top" wrapText="1"/>
    </xf>
    <xf numFmtId="0" fontId="44" fillId="3" borderId="5" xfId="0" applyFont="1" applyFill="1" applyBorder="1" applyAlignment="1">
      <alignment horizontal="center" vertical="top" wrapText="1"/>
    </xf>
    <xf numFmtId="0" fontId="44" fillId="3" borderId="6" xfId="0" applyFont="1" applyFill="1" applyBorder="1" applyAlignment="1">
      <alignment horizontal="center" vertical="top" wrapText="1"/>
    </xf>
    <xf numFmtId="41" fontId="44" fillId="3" borderId="24" xfId="6" applyFont="1" applyFill="1" applyBorder="1" applyAlignment="1">
      <alignment horizontal="left" vertical="top" wrapText="1"/>
    </xf>
    <xf numFmtId="41" fontId="44" fillId="3" borderId="62" xfId="6" applyFont="1" applyFill="1" applyBorder="1" applyAlignment="1">
      <alignment horizontal="left" vertical="top" wrapText="1"/>
    </xf>
    <xf numFmtId="0" fontId="45" fillId="3" borderId="62" xfId="0" applyFont="1" applyFill="1" applyBorder="1" applyAlignment="1">
      <alignment horizontal="center" vertical="center" wrapText="1"/>
    </xf>
    <xf numFmtId="0" fontId="45" fillId="3" borderId="10" xfId="0" applyFont="1" applyFill="1" applyBorder="1" applyAlignment="1">
      <alignment horizontal="center" vertical="center"/>
    </xf>
    <xf numFmtId="0" fontId="22" fillId="3" borderId="0" xfId="0" applyFont="1" applyFill="1" applyAlignment="1">
      <alignment horizontal="center"/>
    </xf>
    <xf numFmtId="0" fontId="44" fillId="3" borderId="108" xfId="0" applyFont="1" applyFill="1" applyBorder="1" applyAlignment="1">
      <alignment horizontal="center" vertical="center" wrapText="1"/>
    </xf>
    <xf numFmtId="0" fontId="44" fillId="3" borderId="26" xfId="0" applyFont="1" applyFill="1" applyBorder="1" applyAlignment="1">
      <alignment horizontal="center" vertical="center" wrapText="1"/>
    </xf>
    <xf numFmtId="0" fontId="44" fillId="3" borderId="14" xfId="0" applyFont="1" applyFill="1" applyBorder="1" applyAlignment="1">
      <alignment horizontal="center" vertical="center" wrapText="1"/>
    </xf>
    <xf numFmtId="41" fontId="46" fillId="3" borderId="62" xfId="6" applyFont="1" applyFill="1" applyBorder="1" applyAlignment="1">
      <alignment horizontal="center" vertical="center" wrapText="1"/>
    </xf>
    <xf numFmtId="41" fontId="46" fillId="3" borderId="10" xfId="6" applyFont="1" applyFill="1" applyBorder="1" applyAlignment="1">
      <alignment horizontal="center" vertical="center"/>
    </xf>
    <xf numFmtId="0" fontId="44" fillId="3" borderId="81" xfId="0" applyFont="1" applyFill="1" applyBorder="1" applyAlignment="1">
      <alignment horizontal="center" vertical="center"/>
    </xf>
    <xf numFmtId="0" fontId="44" fillId="3" borderId="20" xfId="0" applyFont="1" applyFill="1" applyBorder="1" applyAlignment="1">
      <alignment horizontal="center" vertical="center"/>
    </xf>
    <xf numFmtId="0" fontId="44" fillId="3" borderId="17" xfId="0" applyFont="1" applyFill="1" applyBorder="1" applyAlignment="1">
      <alignment horizontal="right" vertical="center" wrapText="1"/>
    </xf>
    <xf numFmtId="0" fontId="44" fillId="3" borderId="20" xfId="0" applyFont="1" applyFill="1" applyBorder="1" applyAlignment="1">
      <alignment horizontal="right" vertical="center" wrapText="1"/>
    </xf>
    <xf numFmtId="41" fontId="44" fillId="5" borderId="17" xfId="6" applyFont="1" applyFill="1" applyBorder="1" applyAlignment="1">
      <alignment horizontal="right" vertical="center" wrapText="1"/>
    </xf>
    <xf numFmtId="41" fontId="44" fillId="5" borderId="20" xfId="6" applyFont="1" applyFill="1" applyBorder="1" applyAlignment="1">
      <alignment horizontal="right" vertical="center" wrapText="1"/>
    </xf>
    <xf numFmtId="41" fontId="44" fillId="3" borderId="80" xfId="6" applyFont="1" applyFill="1" applyBorder="1" applyAlignment="1">
      <alignment horizontal="center" vertical="center" wrapText="1"/>
    </xf>
    <xf numFmtId="41" fontId="44" fillId="3" borderId="104" xfId="6" applyFont="1" applyFill="1" applyBorder="1" applyAlignment="1">
      <alignment horizontal="center" vertical="center" wrapText="1"/>
    </xf>
    <xf numFmtId="41" fontId="44" fillId="3" borderId="27" xfId="6" applyFont="1" applyFill="1" applyBorder="1" applyAlignment="1">
      <alignment horizontal="center" vertical="center" wrapText="1"/>
    </xf>
    <xf numFmtId="41" fontId="44" fillId="3" borderId="53" xfId="6" applyFont="1" applyFill="1" applyBorder="1" applyAlignment="1">
      <alignment horizontal="center" vertical="center" wrapText="1"/>
    </xf>
    <xf numFmtId="0" fontId="108" fillId="11" borderId="142" xfId="1704" applyFont="1" applyFill="1" applyBorder="1" applyAlignment="1">
      <alignment horizontal="center"/>
    </xf>
    <xf numFmtId="0" fontId="108" fillId="11" borderId="144" xfId="1704" applyFont="1" applyFill="1" applyBorder="1" applyAlignment="1">
      <alignment horizontal="center"/>
    </xf>
    <xf numFmtId="0" fontId="108" fillId="17" borderId="142" xfId="1704" applyFont="1" applyFill="1" applyBorder="1" applyAlignment="1">
      <alignment horizontal="center" wrapText="1"/>
    </xf>
    <xf numFmtId="0" fontId="108" fillId="17" borderId="144" xfId="1704" applyFont="1" applyFill="1" applyBorder="1" applyAlignment="1">
      <alignment horizontal="center" wrapText="1"/>
    </xf>
    <xf numFmtId="0" fontId="108" fillId="11" borderId="142" xfId="1704" applyFont="1" applyFill="1" applyBorder="1" applyAlignment="1">
      <alignment horizontal="center" wrapText="1"/>
    </xf>
    <xf numFmtId="0" fontId="108" fillId="11" borderId="144" xfId="1704" applyFont="1" applyFill="1" applyBorder="1" applyAlignment="1">
      <alignment horizontal="center" wrapText="1"/>
    </xf>
    <xf numFmtId="0" fontId="101" fillId="17" borderId="142" xfId="1704" applyFont="1" applyFill="1" applyBorder="1" applyAlignment="1">
      <alignment horizontal="center"/>
    </xf>
    <xf numFmtId="0" fontId="101" fillId="17" borderId="144" xfId="1704" applyFont="1" applyFill="1" applyBorder="1" applyAlignment="1">
      <alignment horizontal="center"/>
    </xf>
    <xf numFmtId="0" fontId="99" fillId="0" borderId="0" xfId="1704" applyFont="1" applyAlignment="1">
      <alignment horizontal="center"/>
    </xf>
    <xf numFmtId="0" fontId="108" fillId="2" borderId="141" xfId="1704" applyFont="1" applyFill="1" applyBorder="1" applyAlignment="1">
      <alignment horizontal="center" vertical="center"/>
    </xf>
    <xf numFmtId="0" fontId="108" fillId="2" borderId="142" xfId="1704" applyFont="1" applyFill="1" applyBorder="1" applyAlignment="1">
      <alignment horizontal="center"/>
    </xf>
    <xf numFmtId="0" fontId="108" fillId="2" borderId="143" xfId="1704" applyFont="1" applyFill="1" applyBorder="1" applyAlignment="1">
      <alignment horizontal="center"/>
    </xf>
    <xf numFmtId="0" fontId="108" fillId="2" borderId="144" xfId="1704" applyFont="1" applyFill="1" applyBorder="1" applyAlignment="1">
      <alignment horizontal="center"/>
    </xf>
    <xf numFmtId="0" fontId="101" fillId="2" borderId="141" xfId="1704" applyFont="1" applyFill="1" applyBorder="1" applyAlignment="1">
      <alignment horizontal="center" vertical="center"/>
    </xf>
    <xf numFmtId="0" fontId="101" fillId="2" borderId="142" xfId="1704" applyFont="1" applyFill="1" applyBorder="1" applyAlignment="1">
      <alignment horizontal="center"/>
    </xf>
    <xf numFmtId="0" fontId="101" fillId="2" borderId="143" xfId="1704" applyFont="1" applyFill="1" applyBorder="1" applyAlignment="1">
      <alignment horizontal="center"/>
    </xf>
    <xf numFmtId="0" fontId="101" fillId="2" borderId="144" xfId="1704" applyFont="1" applyFill="1" applyBorder="1" applyAlignment="1">
      <alignment horizontal="center"/>
    </xf>
    <xf numFmtId="0" fontId="101" fillId="2" borderId="145" xfId="1704" applyFont="1" applyFill="1" applyBorder="1" applyAlignment="1">
      <alignment horizontal="center" vertical="center"/>
    </xf>
    <xf numFmtId="0" fontId="101" fillId="2" borderId="10" xfId="1704" applyFont="1" applyFill="1" applyBorder="1" applyAlignment="1">
      <alignment horizontal="center" vertical="center"/>
    </xf>
    <xf numFmtId="0" fontId="15" fillId="0" borderId="2" xfId="1069" applyFont="1" applyFill="1" applyBorder="1" applyAlignment="1">
      <alignment horizontal="center" vertical="top" wrapText="1" readingOrder="1"/>
    </xf>
    <xf numFmtId="0" fontId="15" fillId="0" borderId="4" xfId="1069" applyFont="1" applyFill="1" applyBorder="1" applyAlignment="1">
      <alignment horizontal="center" vertical="top" wrapText="1" readingOrder="1"/>
    </xf>
    <xf numFmtId="0" fontId="18" fillId="0" borderId="5" xfId="1069" applyFont="1" applyFill="1" applyBorder="1" applyAlignment="1">
      <alignment horizontal="center" vertical="center"/>
    </xf>
    <xf numFmtId="0" fontId="18" fillId="0" borderId="10" xfId="1069" applyFont="1" applyFill="1" applyBorder="1" applyAlignment="1">
      <alignment horizontal="center" vertical="center"/>
    </xf>
    <xf numFmtId="0" fontId="18" fillId="0" borderId="5" xfId="1069" applyFont="1" applyFill="1" applyBorder="1" applyAlignment="1">
      <alignment horizontal="center" vertical="center" wrapText="1"/>
    </xf>
    <xf numFmtId="0" fontId="18" fillId="0" borderId="10" xfId="1069" applyFont="1" applyFill="1" applyBorder="1" applyAlignment="1">
      <alignment horizontal="center" vertical="center" wrapText="1"/>
    </xf>
    <xf numFmtId="0" fontId="18" fillId="0" borderId="0" xfId="1069" applyFont="1" applyFill="1" applyAlignment="1">
      <alignment horizontal="center"/>
    </xf>
    <xf numFmtId="0" fontId="23" fillId="0" borderId="0" xfId="0" applyFont="1" applyAlignment="1">
      <alignment horizontal="center"/>
    </xf>
    <xf numFmtId="0" fontId="23" fillId="0" borderId="0" xfId="0" applyFont="1" applyBorder="1" applyAlignment="1">
      <alignment horizontal="center"/>
    </xf>
    <xf numFmtId="0" fontId="18" fillId="7" borderId="88" xfId="1026" applyFont="1" applyFill="1" applyBorder="1" applyAlignment="1">
      <alignment horizontal="center" vertical="center"/>
    </xf>
    <xf numFmtId="0" fontId="18" fillId="7" borderId="89" xfId="1026" applyFont="1" applyFill="1" applyBorder="1" applyAlignment="1">
      <alignment horizontal="center" vertical="center"/>
    </xf>
    <xf numFmtId="0" fontId="18" fillId="0" borderId="98" xfId="1026" applyFont="1" applyFill="1" applyBorder="1" applyAlignment="1">
      <alignment horizontal="center" vertical="center"/>
    </xf>
    <xf numFmtId="0" fontId="18" fillId="0" borderId="0" xfId="1026" applyFont="1" applyAlignment="1">
      <alignment horizontal="center"/>
    </xf>
    <xf numFmtId="0" fontId="18" fillId="0" borderId="87" xfId="1026" applyFont="1" applyFill="1" applyBorder="1" applyAlignment="1">
      <alignment horizontal="center" vertical="center"/>
    </xf>
    <xf numFmtId="0" fontId="18" fillId="0" borderId="90" xfId="1026" applyFont="1" applyFill="1" applyBorder="1" applyAlignment="1">
      <alignment horizontal="center" vertical="center"/>
    </xf>
    <xf numFmtId="0" fontId="18" fillId="0" borderId="92" xfId="1026" applyFont="1" applyFill="1" applyBorder="1" applyAlignment="1">
      <alignment horizontal="center" vertical="center"/>
    </xf>
    <xf numFmtId="0" fontId="18" fillId="0" borderId="87" xfId="1026" applyFont="1" applyFill="1" applyBorder="1" applyAlignment="1">
      <alignment horizontal="center" vertical="center" wrapText="1"/>
    </xf>
    <xf numFmtId="0" fontId="18" fillId="0" borderId="90" xfId="1026" applyFont="1" applyFill="1" applyBorder="1" applyAlignment="1">
      <alignment horizontal="center" vertical="center" wrapText="1"/>
    </xf>
    <xf numFmtId="0" fontId="18" fillId="0" borderId="92" xfId="1026" applyFont="1" applyFill="1" applyBorder="1" applyAlignment="1">
      <alignment horizontal="center" vertical="center" wrapText="1"/>
    </xf>
    <xf numFmtId="0" fontId="18" fillId="0" borderId="101" xfId="1026" applyFont="1" applyFill="1" applyBorder="1" applyAlignment="1">
      <alignment horizontal="center" vertical="center" wrapText="1"/>
    </xf>
    <xf numFmtId="0" fontId="18" fillId="0" borderId="102" xfId="1026" applyFont="1" applyFill="1" applyBorder="1" applyAlignment="1">
      <alignment horizontal="center" vertical="center" wrapText="1"/>
    </xf>
    <xf numFmtId="0" fontId="41" fillId="0" borderId="0" xfId="1026" applyFont="1" applyAlignment="1">
      <alignment horizontal="left" vertical="top" wrapText="1"/>
    </xf>
    <xf numFmtId="0" fontId="37" fillId="0" borderId="0" xfId="1026" applyFont="1" applyAlignment="1">
      <alignment vertical="top" wrapText="1"/>
    </xf>
    <xf numFmtId="0" fontId="37" fillId="0" borderId="0" xfId="1026" applyFont="1" applyAlignment="1">
      <alignment wrapText="1"/>
    </xf>
    <xf numFmtId="0" fontId="18" fillId="0" borderId="88" xfId="1026" applyFont="1" applyFill="1" applyBorder="1" applyAlignment="1">
      <alignment horizontal="center" vertical="center"/>
    </xf>
    <xf numFmtId="0" fontId="18" fillId="0" borderId="89" xfId="1026" applyFont="1" applyFill="1" applyBorder="1" applyAlignment="1">
      <alignment horizontal="center" vertical="center"/>
    </xf>
    <xf numFmtId="0" fontId="41" fillId="0" borderId="0" xfId="1026" applyFont="1" applyAlignment="1">
      <alignment horizontal="left"/>
    </xf>
    <xf numFmtId="0" fontId="41" fillId="0" borderId="0" xfId="1026" applyFont="1" applyAlignment="1">
      <alignment horizontal="center"/>
    </xf>
    <xf numFmtId="0" fontId="37" fillId="0" borderId="0" xfId="1026" applyFont="1" applyBorder="1" applyAlignment="1">
      <alignment horizontal="center" vertical="top" wrapText="1"/>
    </xf>
    <xf numFmtId="0" fontId="3" fillId="0" borderId="0" xfId="1153" applyFont="1" applyAlignment="1">
      <alignment horizontal="center"/>
    </xf>
    <xf numFmtId="169" fontId="4" fillId="0" borderId="0" xfId="6" applyNumberFormat="1" applyFont="1" applyAlignment="1">
      <alignment horizontal="center"/>
    </xf>
    <xf numFmtId="169" fontId="33" fillId="0" borderId="1" xfId="6" applyNumberFormat="1" applyFont="1" applyBorder="1" applyAlignment="1">
      <alignment horizontal="center"/>
    </xf>
    <xf numFmtId="0" fontId="15" fillId="5" borderId="62" xfId="1153" applyFont="1" applyFill="1" applyBorder="1" applyAlignment="1">
      <alignment horizontal="center" vertical="center" wrapText="1"/>
    </xf>
    <xf numFmtId="0" fontId="15" fillId="5" borderId="6" xfId="1153" applyFont="1" applyFill="1" applyBorder="1" applyAlignment="1">
      <alignment horizontal="center" vertical="center" wrapText="1"/>
    </xf>
    <xf numFmtId="0" fontId="15" fillId="5" borderId="10" xfId="1153" applyFont="1" applyFill="1" applyBorder="1" applyAlignment="1">
      <alignment horizontal="center" vertical="center" wrapText="1"/>
    </xf>
    <xf numFmtId="0" fontId="15" fillId="5" borderId="80" xfId="1153" applyFont="1" applyFill="1" applyBorder="1" applyAlignment="1">
      <alignment horizontal="center" vertical="center" wrapText="1"/>
    </xf>
    <xf numFmtId="0" fontId="15" fillId="5" borderId="16" xfId="1153" applyFont="1" applyFill="1" applyBorder="1" applyAlignment="1">
      <alignment horizontal="center" vertical="center" wrapText="1"/>
    </xf>
    <xf numFmtId="0" fontId="15" fillId="5" borderId="27" xfId="1153" applyFont="1" applyFill="1" applyBorder="1" applyAlignment="1">
      <alignment horizontal="center" vertical="center" wrapText="1"/>
    </xf>
    <xf numFmtId="0" fontId="15" fillId="5" borderId="81" xfId="1153" applyFont="1" applyFill="1" applyBorder="1" applyAlignment="1">
      <alignment horizontal="center" vertical="center" wrapText="1"/>
    </xf>
    <xf numFmtId="0" fontId="15" fillId="5" borderId="18" xfId="1153" applyFont="1" applyFill="1" applyBorder="1" applyAlignment="1">
      <alignment horizontal="center" vertical="center" wrapText="1"/>
    </xf>
    <xf numFmtId="0" fontId="15" fillId="5" borderId="20" xfId="1153" applyFont="1" applyFill="1" applyBorder="1" applyAlignment="1">
      <alignment horizontal="center" vertical="center" wrapText="1"/>
    </xf>
    <xf numFmtId="0" fontId="15" fillId="5" borderId="61" xfId="1153" applyFont="1" applyFill="1" applyBorder="1" applyAlignment="1">
      <alignment horizontal="center" vertical="center"/>
    </xf>
    <xf numFmtId="0" fontId="15" fillId="5" borderId="14" xfId="1153" applyFont="1" applyFill="1" applyBorder="1" applyAlignment="1">
      <alignment horizontal="center" vertical="center"/>
    </xf>
    <xf numFmtId="0" fontId="15" fillId="5" borderId="26" xfId="1153" applyFont="1" applyFill="1" applyBorder="1" applyAlignment="1">
      <alignment horizontal="center" vertical="center"/>
    </xf>
    <xf numFmtId="164" fontId="4" fillId="0" borderId="1" xfId="6" applyNumberFormat="1" applyFont="1" applyBorder="1" applyAlignment="1">
      <alignment horizontal="center" vertical="center"/>
    </xf>
    <xf numFmtId="0" fontId="115" fillId="5" borderId="142" xfId="1915" applyFont="1" applyFill="1" applyBorder="1" applyAlignment="1">
      <alignment horizontal="center" vertical="center"/>
    </xf>
    <xf numFmtId="0" fontId="115" fillId="5" borderId="144" xfId="1915" applyFont="1" applyFill="1" applyBorder="1" applyAlignment="1">
      <alignment horizontal="center" vertical="center"/>
    </xf>
    <xf numFmtId="0" fontId="113" fillId="0" borderId="0" xfId="1915" applyFont="1" applyAlignment="1">
      <alignment horizontal="center" vertical="center"/>
    </xf>
    <xf numFmtId="0" fontId="113" fillId="5" borderId="147" xfId="1915" applyFont="1" applyFill="1" applyBorder="1" applyAlignment="1">
      <alignment horizontal="center" vertical="center"/>
    </xf>
    <xf numFmtId="0" fontId="113" fillId="5" borderId="148" xfId="1915" applyFont="1" applyFill="1" applyBorder="1" applyAlignment="1">
      <alignment horizontal="center" vertical="center"/>
    </xf>
    <xf numFmtId="0" fontId="113" fillId="5" borderId="149" xfId="1915" applyFont="1" applyFill="1" applyBorder="1" applyAlignment="1">
      <alignment horizontal="center" vertical="center"/>
    </xf>
    <xf numFmtId="0" fontId="113" fillId="5" borderId="56" xfId="1915" applyFont="1" applyFill="1" applyBorder="1" applyAlignment="1">
      <alignment horizontal="center" vertical="center"/>
    </xf>
    <xf numFmtId="0" fontId="113" fillId="5" borderId="27" xfId="1915" applyFont="1" applyFill="1" applyBorder="1" applyAlignment="1">
      <alignment horizontal="center" vertical="center"/>
    </xf>
    <xf numFmtId="0" fontId="113" fillId="5" borderId="53" xfId="1915" applyFont="1" applyFill="1" applyBorder="1" applyAlignment="1">
      <alignment horizontal="center" vertical="center"/>
    </xf>
    <xf numFmtId="0" fontId="113" fillId="5" borderId="145" xfId="1915" applyFont="1" applyFill="1" applyBorder="1" applyAlignment="1">
      <alignment horizontal="center" vertical="center" wrapText="1"/>
    </xf>
    <xf numFmtId="0" fontId="113" fillId="5" borderId="136" xfId="1915" applyFont="1" applyFill="1" applyBorder="1" applyAlignment="1">
      <alignment horizontal="center" vertical="center" wrapText="1"/>
    </xf>
    <xf numFmtId="0" fontId="113" fillId="5" borderId="10" xfId="1915" applyFont="1" applyFill="1" applyBorder="1" applyAlignment="1">
      <alignment horizontal="center" vertical="center" wrapText="1"/>
    </xf>
    <xf numFmtId="0" fontId="113" fillId="5" borderId="142" xfId="1915" applyFont="1" applyFill="1" applyBorder="1" applyAlignment="1">
      <alignment horizontal="center" vertical="center"/>
    </xf>
    <xf numFmtId="0" fontId="113" fillId="5" borderId="143" xfId="1915" applyFont="1" applyFill="1" applyBorder="1" applyAlignment="1">
      <alignment horizontal="center" vertical="center"/>
    </xf>
    <xf numFmtId="0" fontId="113" fillId="5" borderId="144" xfId="1915" applyFont="1" applyFill="1" applyBorder="1" applyAlignment="1">
      <alignment horizontal="center" vertical="center"/>
    </xf>
    <xf numFmtId="0" fontId="23" fillId="3" borderId="0" xfId="1100" applyFont="1" applyFill="1" applyAlignment="1">
      <alignment horizontal="center"/>
    </xf>
    <xf numFmtId="0" fontId="15" fillId="3" borderId="2" xfId="1100" applyFont="1" applyFill="1" applyBorder="1" applyAlignment="1">
      <alignment horizontal="left"/>
    </xf>
    <xf numFmtId="0" fontId="15" fillId="3" borderId="3" xfId="1100" applyFont="1" applyFill="1" applyBorder="1" applyAlignment="1">
      <alignment horizontal="left"/>
    </xf>
    <xf numFmtId="0" fontId="15" fillId="5" borderId="57" xfId="1100" applyFont="1" applyFill="1" applyBorder="1" applyAlignment="1">
      <alignment horizontal="center"/>
    </xf>
    <xf numFmtId="0" fontId="15" fillId="5" borderId="58" xfId="1100" applyFont="1" applyFill="1" applyBorder="1" applyAlignment="1">
      <alignment horizontal="center"/>
    </xf>
    <xf numFmtId="0" fontId="15" fillId="5" borderId="59" xfId="1100" applyFont="1" applyFill="1" applyBorder="1" applyAlignment="1">
      <alignment horizontal="center"/>
    </xf>
    <xf numFmtId="0" fontId="14" fillId="0" borderId="0" xfId="1210" applyFont="1" applyAlignment="1">
      <alignment horizontal="center"/>
    </xf>
    <xf numFmtId="43" fontId="27" fillId="3" borderId="2" xfId="579" applyFont="1" applyFill="1" applyBorder="1" applyAlignment="1">
      <alignment horizontal="center" vertical="center"/>
    </xf>
    <xf numFmtId="43" fontId="27" fillId="3" borderId="3" xfId="579" applyFont="1" applyFill="1" applyBorder="1" applyAlignment="1">
      <alignment horizontal="center" vertical="center"/>
    </xf>
    <xf numFmtId="0" fontId="23" fillId="3" borderId="0" xfId="1100" applyFont="1" applyFill="1" applyBorder="1" applyAlignment="1">
      <alignment horizontal="center" vertical="center"/>
    </xf>
    <xf numFmtId="0" fontId="9" fillId="5" borderId="2" xfId="1100" applyFont="1" applyFill="1" applyBorder="1" applyAlignment="1">
      <alignment horizontal="center" vertical="center"/>
    </xf>
    <xf numFmtId="0" fontId="9" fillId="5" borderId="3" xfId="1100" applyFont="1" applyFill="1" applyBorder="1" applyAlignment="1">
      <alignment horizontal="center" vertical="center"/>
    </xf>
    <xf numFmtId="0" fontId="9" fillId="3" borderId="2" xfId="1100" applyFont="1" applyFill="1" applyBorder="1" applyAlignment="1">
      <alignment horizontal="center" vertical="center" wrapText="1"/>
    </xf>
    <xf numFmtId="0" fontId="9" fillId="3" borderId="3" xfId="1100" applyFont="1" applyFill="1" applyBorder="1" applyAlignment="1">
      <alignment horizontal="center" vertical="center" wrapText="1"/>
    </xf>
    <xf numFmtId="0" fontId="11" fillId="3" borderId="2" xfId="1100" applyFont="1" applyFill="1" applyBorder="1" applyAlignment="1">
      <alignment horizontal="center" vertical="center"/>
    </xf>
    <xf numFmtId="0" fontId="11" fillId="3" borderId="4" xfId="1100" applyFont="1" applyFill="1" applyBorder="1" applyAlignment="1">
      <alignment horizontal="center" vertical="center"/>
    </xf>
    <xf numFmtId="0" fontId="11" fillId="3" borderId="3" xfId="1100" applyFont="1" applyFill="1" applyBorder="1" applyAlignment="1">
      <alignment horizontal="center" vertical="center"/>
    </xf>
    <xf numFmtId="0" fontId="14" fillId="3" borderId="2" xfId="1100" applyFont="1" applyFill="1" applyBorder="1" applyAlignment="1">
      <alignment horizontal="center" vertical="center" wrapText="1"/>
    </xf>
    <xf numFmtId="0" fontId="14" fillId="3" borderId="3" xfId="1100" applyFont="1" applyFill="1" applyBorder="1" applyAlignment="1">
      <alignment horizontal="center" vertical="center" wrapText="1"/>
    </xf>
    <xf numFmtId="43" fontId="11" fillId="3" borderId="2" xfId="116" applyFont="1" applyFill="1" applyBorder="1" applyAlignment="1">
      <alignment horizontal="center" vertical="center"/>
    </xf>
    <xf numFmtId="43" fontId="11" fillId="3" borderId="4" xfId="116" applyFont="1" applyFill="1" applyBorder="1" applyAlignment="1">
      <alignment horizontal="center" vertical="center"/>
    </xf>
    <xf numFmtId="43" fontId="11" fillId="3" borderId="3" xfId="116" applyFont="1" applyFill="1" applyBorder="1" applyAlignment="1">
      <alignment horizontal="center" vertical="center"/>
    </xf>
    <xf numFmtId="0" fontId="9" fillId="5" borderId="1" xfId="1100" applyFont="1" applyFill="1" applyBorder="1" applyAlignment="1">
      <alignment horizontal="center" vertical="center"/>
    </xf>
    <xf numFmtId="0" fontId="3" fillId="0" borderId="0" xfId="1069" applyNumberFormat="1" applyFont="1" applyFill="1" applyBorder="1" applyAlignment="1" applyProtection="1">
      <alignment horizontal="center"/>
    </xf>
    <xf numFmtId="0" fontId="14" fillId="5" borderId="35" xfId="1069" applyNumberFormat="1" applyFont="1" applyFill="1" applyBorder="1" applyAlignment="1" applyProtection="1">
      <alignment horizontal="center" vertical="center" wrapText="1"/>
    </xf>
    <xf numFmtId="0" fontId="14" fillId="5" borderId="39" xfId="1069" applyNumberFormat="1" applyFont="1" applyFill="1" applyBorder="1" applyAlignment="1" applyProtection="1">
      <alignment horizontal="center" vertical="center" wrapText="1"/>
    </xf>
    <xf numFmtId="0" fontId="14" fillId="5" borderId="42" xfId="1069" applyNumberFormat="1" applyFont="1" applyFill="1" applyBorder="1" applyAlignment="1" applyProtection="1">
      <alignment horizontal="center" vertical="center" wrapText="1"/>
    </xf>
    <xf numFmtId="0" fontId="14" fillId="5" borderId="36" xfId="1069" applyNumberFormat="1" applyFont="1" applyFill="1" applyBorder="1" applyAlignment="1" applyProtection="1">
      <alignment horizontal="center" vertical="center" wrapText="1"/>
    </xf>
    <xf numFmtId="0" fontId="14" fillId="5" borderId="40" xfId="1069" applyNumberFormat="1" applyFont="1" applyFill="1" applyBorder="1" applyAlignment="1" applyProtection="1">
      <alignment horizontal="center" vertical="center" wrapText="1"/>
    </xf>
    <xf numFmtId="0" fontId="14" fillId="5" borderId="43" xfId="1069" applyNumberFormat="1" applyFont="1" applyFill="1" applyBorder="1" applyAlignment="1" applyProtection="1">
      <alignment horizontal="center" vertical="center" wrapText="1"/>
    </xf>
    <xf numFmtId="0" fontId="14" fillId="5" borderId="37" xfId="1069" applyNumberFormat="1" applyFont="1" applyFill="1" applyBorder="1" applyAlignment="1" applyProtection="1">
      <alignment horizontal="center" vertical="center" wrapText="1"/>
    </xf>
    <xf numFmtId="0" fontId="14" fillId="5" borderId="38" xfId="1069" applyNumberFormat="1" applyFont="1" applyFill="1" applyBorder="1" applyAlignment="1" applyProtection="1">
      <alignment horizontal="center" vertical="center" wrapText="1"/>
    </xf>
    <xf numFmtId="0" fontId="14" fillId="5" borderId="50" xfId="1069" applyNumberFormat="1" applyFont="1" applyFill="1" applyBorder="1" applyAlignment="1" applyProtection="1">
      <alignment horizontal="center" vertical="center" wrapText="1"/>
    </xf>
    <xf numFmtId="0" fontId="14" fillId="5" borderId="41" xfId="1069" applyNumberFormat="1" applyFont="1" applyFill="1" applyBorder="1" applyAlignment="1" applyProtection="1">
      <alignment horizontal="center" vertical="center" wrapText="1"/>
    </xf>
    <xf numFmtId="0" fontId="14" fillId="5" borderId="0" xfId="1069" applyNumberFormat="1" applyFont="1" applyFill="1" applyBorder="1" applyAlignment="1" applyProtection="1">
      <alignment horizontal="center" vertical="center" wrapText="1"/>
    </xf>
    <xf numFmtId="0" fontId="14" fillId="5" borderId="51" xfId="1069" applyNumberFormat="1" applyFont="1" applyFill="1" applyBorder="1" applyAlignment="1" applyProtection="1">
      <alignment horizontal="center" vertical="center" wrapText="1"/>
    </xf>
    <xf numFmtId="0" fontId="132" fillId="0" borderId="142" xfId="1704" applyFont="1" applyFill="1" applyBorder="1" applyAlignment="1">
      <alignment horizontal="center" wrapText="1"/>
    </xf>
    <xf numFmtId="0" fontId="132" fillId="0" borderId="143" xfId="1704" applyFont="1" applyFill="1" applyBorder="1" applyAlignment="1">
      <alignment horizontal="center" wrapText="1"/>
    </xf>
    <xf numFmtId="0" fontId="132" fillId="0" borderId="144" xfId="1704" applyFont="1" applyFill="1" applyBorder="1" applyAlignment="1">
      <alignment horizontal="center" wrapText="1"/>
    </xf>
    <xf numFmtId="0" fontId="130" fillId="0" borderId="145" xfId="1704" applyFont="1" applyFill="1" applyBorder="1" applyAlignment="1">
      <alignment horizontal="center" vertical="center" wrapText="1"/>
    </xf>
    <xf numFmtId="0" fontId="130" fillId="0" borderId="136" xfId="1704" applyFont="1" applyFill="1" applyBorder="1" applyAlignment="1">
      <alignment horizontal="center" vertical="center" wrapText="1"/>
    </xf>
    <xf numFmtId="0" fontId="130" fillId="0" borderId="10" xfId="1704" applyFont="1" applyFill="1" applyBorder="1" applyAlignment="1">
      <alignment horizontal="center" vertical="center" wrapText="1"/>
    </xf>
    <xf numFmtId="0" fontId="130" fillId="0" borderId="145" xfId="1704" applyFont="1" applyFill="1" applyBorder="1" applyAlignment="1">
      <alignment horizontal="left" vertical="center"/>
    </xf>
    <xf numFmtId="0" fontId="130" fillId="0" borderId="136" xfId="1704" applyFont="1" applyFill="1" applyBorder="1" applyAlignment="1">
      <alignment horizontal="left" vertical="center"/>
    </xf>
    <xf numFmtId="0" fontId="130" fillId="0" borderId="10" xfId="1704" applyFont="1" applyFill="1" applyBorder="1" applyAlignment="1">
      <alignment horizontal="left" vertical="center"/>
    </xf>
    <xf numFmtId="0" fontId="128" fillId="0" borderId="145" xfId="1704" applyFont="1" applyFill="1" applyBorder="1" applyAlignment="1">
      <alignment horizontal="center" vertical="center" wrapText="1"/>
    </xf>
    <xf numFmtId="0" fontId="128" fillId="0" borderId="136" xfId="1704" applyFont="1" applyFill="1" applyBorder="1" applyAlignment="1">
      <alignment horizontal="center" vertical="center" wrapText="1"/>
    </xf>
    <xf numFmtId="0" fontId="128" fillId="0" borderId="10" xfId="1704" applyFont="1" applyFill="1" applyBorder="1" applyAlignment="1">
      <alignment horizontal="center" vertical="center" wrapText="1"/>
    </xf>
    <xf numFmtId="0" fontId="128" fillId="0" borderId="145" xfId="1704" applyFont="1" applyFill="1" applyBorder="1" applyAlignment="1">
      <alignment horizontal="left" vertical="center"/>
    </xf>
    <xf numFmtId="0" fontId="128" fillId="0" borderId="136" xfId="1704" applyFont="1" applyFill="1" applyBorder="1" applyAlignment="1">
      <alignment horizontal="left" vertical="center"/>
    </xf>
    <xf numFmtId="0" fontId="128" fillId="0" borderId="10" xfId="1704" applyFont="1" applyFill="1" applyBorder="1" applyAlignment="1">
      <alignment horizontal="left" vertical="center"/>
    </xf>
    <xf numFmtId="0" fontId="130" fillId="0" borderId="145" xfId="1704" applyFont="1" applyFill="1" applyBorder="1" applyAlignment="1">
      <alignment horizontal="center" vertical="center"/>
    </xf>
    <xf numFmtId="0" fontId="130" fillId="0" borderId="136" xfId="1704" applyFont="1" applyFill="1" applyBorder="1" applyAlignment="1">
      <alignment horizontal="center" vertical="center"/>
    </xf>
    <xf numFmtId="0" fontId="130" fillId="0" borderId="10" xfId="1704" applyFont="1" applyFill="1" applyBorder="1" applyAlignment="1">
      <alignment horizontal="center" vertical="center"/>
    </xf>
    <xf numFmtId="0" fontId="130" fillId="0" borderId="145" xfId="1704" applyFont="1" applyFill="1" applyBorder="1" applyAlignment="1">
      <alignment horizontal="left" vertical="center" wrapText="1"/>
    </xf>
    <xf numFmtId="0" fontId="130" fillId="0" borderId="136" xfId="1704" applyFont="1" applyFill="1" applyBorder="1" applyAlignment="1">
      <alignment horizontal="left" vertical="center" wrapText="1"/>
    </xf>
    <xf numFmtId="0" fontId="130" fillId="0" borderId="10" xfId="1704" applyFont="1" applyFill="1" applyBorder="1" applyAlignment="1">
      <alignment horizontal="left" vertical="center" wrapText="1"/>
    </xf>
    <xf numFmtId="0" fontId="110" fillId="0" borderId="0" xfId="1704" applyFont="1" applyAlignment="1">
      <alignment horizontal="center" wrapText="1"/>
    </xf>
    <xf numFmtId="0" fontId="3" fillId="0" borderId="0" xfId="1197" applyFont="1" applyBorder="1" applyAlignment="1">
      <alignment horizontal="center" vertical="center"/>
    </xf>
    <xf numFmtId="0" fontId="94" fillId="4" borderId="0" xfId="1700" applyFont="1" applyFill="1" applyAlignment="1">
      <alignment horizontal="center" vertical="top"/>
    </xf>
    <xf numFmtId="0" fontId="94" fillId="4" borderId="55" xfId="1700" applyFont="1" applyFill="1" applyBorder="1" applyAlignment="1">
      <alignment horizontal="center" vertical="top"/>
    </xf>
    <xf numFmtId="0" fontId="96" fillId="17" borderId="135" xfId="1700" applyFont="1" applyFill="1" applyBorder="1" applyAlignment="1">
      <alignment horizontal="center" vertical="center"/>
    </xf>
    <xf numFmtId="0" fontId="96" fillId="17" borderId="10" xfId="1700" applyFont="1" applyFill="1" applyBorder="1" applyAlignment="1">
      <alignment horizontal="center" vertical="center"/>
    </xf>
    <xf numFmtId="43" fontId="96" fillId="17" borderId="135" xfId="1701" applyFont="1" applyFill="1" applyBorder="1" applyAlignment="1">
      <alignment horizontal="center" vertical="center"/>
    </xf>
    <xf numFmtId="43" fontId="96" fillId="17" borderId="10" xfId="1701" applyFont="1" applyFill="1" applyBorder="1" applyAlignment="1">
      <alignment horizontal="center" vertical="center"/>
    </xf>
    <xf numFmtId="0" fontId="96" fillId="4" borderId="137" xfId="1700" applyFont="1" applyFill="1" applyBorder="1" applyAlignment="1">
      <alignment horizontal="center" vertical="top"/>
    </xf>
    <xf numFmtId="0" fontId="96" fillId="4" borderId="138" xfId="1700" applyFont="1" applyFill="1" applyBorder="1" applyAlignment="1">
      <alignment horizontal="center" vertical="top"/>
    </xf>
    <xf numFmtId="0" fontId="96" fillId="4" borderId="139" xfId="1700" applyFont="1" applyFill="1" applyBorder="1" applyAlignment="1">
      <alignment horizontal="center" vertical="top"/>
    </xf>
    <xf numFmtId="1" fontId="96" fillId="4" borderId="137" xfId="1700" applyNumberFormat="1" applyFont="1" applyFill="1" applyBorder="1" applyAlignment="1">
      <alignment horizontal="center" vertical="top"/>
    </xf>
    <xf numFmtId="1" fontId="96" fillId="4" borderId="138" xfId="1700" applyNumberFormat="1" applyFont="1" applyFill="1" applyBorder="1" applyAlignment="1">
      <alignment horizontal="center" vertical="top"/>
    </xf>
    <xf numFmtId="1" fontId="96" fillId="4" borderId="139" xfId="1700" applyNumberFormat="1" applyFont="1" applyFill="1" applyBorder="1" applyAlignment="1">
      <alignment horizontal="center" vertical="top"/>
    </xf>
    <xf numFmtId="0" fontId="122" fillId="0" borderId="151" xfId="1704" applyFont="1" applyFill="1" applyBorder="1" applyAlignment="1">
      <alignment horizontal="center" vertical="center"/>
    </xf>
    <xf numFmtId="0" fontId="122" fillId="0" borderId="143" xfId="1704" applyFont="1" applyFill="1" applyBorder="1" applyAlignment="1">
      <alignment horizontal="center" vertical="center"/>
    </xf>
    <xf numFmtId="0" fontId="122" fillId="0" borderId="144" xfId="1704" applyFont="1" applyFill="1" applyBorder="1" applyAlignment="1">
      <alignment horizontal="center" vertical="center"/>
    </xf>
    <xf numFmtId="0" fontId="122" fillId="5" borderId="151" xfId="1704" applyFont="1" applyFill="1" applyBorder="1" applyAlignment="1">
      <alignment horizontal="center" vertical="center"/>
    </xf>
    <xf numFmtId="0" fontId="122" fillId="5" borderId="143" xfId="1704" applyFont="1" applyFill="1" applyBorder="1" applyAlignment="1">
      <alignment horizontal="center" vertical="center"/>
    </xf>
    <xf numFmtId="0" fontId="122" fillId="5" borderId="144" xfId="1704" applyFont="1" applyFill="1" applyBorder="1" applyAlignment="1">
      <alignment horizontal="center" vertical="center"/>
    </xf>
    <xf numFmtId="0" fontId="122" fillId="0" borderId="152" xfId="1704" applyFont="1" applyFill="1" applyBorder="1" applyAlignment="1">
      <alignment horizontal="center" vertical="center"/>
    </xf>
    <xf numFmtId="0" fontId="122" fillId="0" borderId="153" xfId="1704" applyFont="1" applyFill="1" applyBorder="1" applyAlignment="1">
      <alignment horizontal="center" vertical="center"/>
    </xf>
    <xf numFmtId="0" fontId="122" fillId="0" borderId="154" xfId="1704" applyFont="1" applyFill="1" applyBorder="1" applyAlignment="1">
      <alignment horizontal="center" vertical="center"/>
    </xf>
    <xf numFmtId="0" fontId="118" fillId="0" borderId="0" xfId="1704" applyFont="1" applyAlignment="1">
      <alignment horizontal="center"/>
    </xf>
    <xf numFmtId="0" fontId="18" fillId="0" borderId="0" xfId="1704" applyFont="1" applyAlignment="1">
      <alignment horizontal="center"/>
    </xf>
    <xf numFmtId="0" fontId="122" fillId="3" borderId="151" xfId="1704" applyFont="1" applyFill="1" applyBorder="1" applyAlignment="1">
      <alignment horizontal="center" vertical="center"/>
    </xf>
    <xf numFmtId="0" fontId="122" fillId="3" borderId="143" xfId="1704" applyFont="1" applyFill="1" applyBorder="1" applyAlignment="1">
      <alignment horizontal="center" vertical="center"/>
    </xf>
    <xf numFmtId="0" fontId="122" fillId="3" borderId="144" xfId="1704" applyFont="1" applyFill="1" applyBorder="1" applyAlignment="1">
      <alignment horizontal="center" vertical="center"/>
    </xf>
    <xf numFmtId="0" fontId="119" fillId="0" borderId="0" xfId="1918" applyFont="1" applyFill="1" applyAlignment="1">
      <alignment horizontal="center" vertical="center"/>
    </xf>
    <xf numFmtId="164" fontId="5" fillId="0" borderId="2" xfId="65" applyNumberFormat="1" applyFont="1" applyFill="1" applyBorder="1" applyAlignment="1">
      <alignment horizontal="center"/>
    </xf>
    <xf numFmtId="0" fontId="2" fillId="0" borderId="4" xfId="1383" applyBorder="1" applyAlignment="1"/>
    <xf numFmtId="0" fontId="2" fillId="0" borderId="3" xfId="1383" applyBorder="1" applyAlignment="1"/>
    <xf numFmtId="0" fontId="5" fillId="0" borderId="2" xfId="1383" applyFont="1" applyFill="1" applyBorder="1" applyAlignment="1">
      <alignment horizontal="center"/>
    </xf>
    <xf numFmtId="0" fontId="5" fillId="0" borderId="5" xfId="1383" applyFont="1" applyFill="1" applyBorder="1" applyAlignment="1">
      <alignment horizontal="center" vertical="center"/>
    </xf>
    <xf numFmtId="0" fontId="5" fillId="0" borderId="10" xfId="1383" applyFont="1" applyFill="1" applyBorder="1" applyAlignment="1">
      <alignment horizontal="center" vertical="center"/>
    </xf>
    <xf numFmtId="164" fontId="5" fillId="0" borderId="1" xfId="65" applyNumberFormat="1" applyFont="1" applyFill="1" applyBorder="1" applyAlignment="1">
      <alignment horizontal="center" vertical="center" wrapText="1"/>
    </xf>
    <xf numFmtId="0" fontId="5" fillId="0" borderId="2" xfId="1383" applyFont="1" applyFill="1" applyBorder="1" applyAlignment="1">
      <alignment horizontal="center" vertical="center"/>
    </xf>
    <xf numFmtId="0" fontId="5" fillId="0" borderId="3" xfId="1383" applyFont="1" applyFill="1" applyBorder="1" applyAlignment="1">
      <alignment horizontal="center" vertical="center"/>
    </xf>
    <xf numFmtId="0" fontId="115" fillId="0" borderId="0" xfId="1704" applyFont="1" applyFill="1" applyBorder="1" applyAlignment="1">
      <alignment horizontal="center" vertical="center"/>
    </xf>
    <xf numFmtId="0" fontId="133" fillId="0" borderId="7" xfId="1906" applyFont="1" applyFill="1" applyBorder="1" applyAlignment="1">
      <alignment horizontal="center" vertical="center"/>
    </xf>
    <xf numFmtId="0" fontId="133" fillId="0" borderId="8" xfId="1906" applyFont="1" applyFill="1" applyBorder="1" applyAlignment="1">
      <alignment horizontal="center" vertical="center"/>
    </xf>
    <xf numFmtId="0" fontId="5" fillId="0" borderId="7" xfId="1383" applyFont="1" applyBorder="1" applyAlignment="1">
      <alignment horizontal="center" vertical="center"/>
    </xf>
    <xf numFmtId="0" fontId="5" fillId="0" borderId="8" xfId="1383" applyFont="1" applyBorder="1" applyAlignment="1">
      <alignment horizontal="center" vertical="center"/>
    </xf>
    <xf numFmtId="164" fontId="5" fillId="0" borderId="4" xfId="65" applyNumberFormat="1" applyFont="1" applyFill="1" applyBorder="1" applyAlignment="1">
      <alignment horizontal="center"/>
    </xf>
    <xf numFmtId="164" fontId="5" fillId="0" borderId="3" xfId="65" applyNumberFormat="1" applyFont="1" applyFill="1" applyBorder="1" applyAlignment="1">
      <alignment horizontal="center"/>
    </xf>
    <xf numFmtId="0" fontId="5" fillId="0" borderId="1" xfId="1383" applyFont="1" applyFill="1" applyBorder="1" applyAlignment="1">
      <alignment horizontal="center" vertical="center"/>
    </xf>
    <xf numFmtId="0" fontId="5" fillId="0" borderId="2" xfId="1383" applyFont="1" applyBorder="1" applyAlignment="1">
      <alignment horizontal="center" vertical="center"/>
    </xf>
    <xf numFmtId="0" fontId="5" fillId="0" borderId="3" xfId="1383" applyFont="1" applyBorder="1" applyAlignment="1">
      <alignment horizontal="center" vertical="center"/>
    </xf>
    <xf numFmtId="0" fontId="96" fillId="4" borderId="29" xfId="1700" applyFont="1" applyFill="1" applyBorder="1" applyAlignment="1">
      <alignment vertical="top" wrapText="1" readingOrder="1"/>
    </xf>
    <xf numFmtId="0" fontId="9" fillId="5" borderId="5" xfId="1069" applyFont="1" applyFill="1" applyBorder="1" applyAlignment="1">
      <alignment horizontal="center" vertical="center"/>
    </xf>
    <xf numFmtId="0" fontId="9" fillId="5" borderId="10" xfId="1069" applyFont="1" applyFill="1" applyBorder="1" applyAlignment="1">
      <alignment horizontal="center" vertical="center"/>
    </xf>
  </cellXfs>
  <cellStyles count="1922">
    <cellStyle name="Comma" xfId="3" builtinId="3"/>
    <cellStyle name="Comma [0]" xfId="6" builtinId="6"/>
    <cellStyle name="Comma [0] 10" xfId="77"/>
    <cellStyle name="Comma [0] 10 2" xfId="80"/>
    <cellStyle name="Comma [0] 11" xfId="46"/>
    <cellStyle name="Comma [0] 11 2" xfId="1917"/>
    <cellStyle name="Comma [0] 12" xfId="55"/>
    <cellStyle name="Comma [0] 13" xfId="65"/>
    <cellStyle name="Comma [0] 13 2" xfId="1702"/>
    <cellStyle name="Comma [0] 13 3" xfId="1712"/>
    <cellStyle name="Comma [0] 14" xfId="1703"/>
    <cellStyle name="Comma [0] 2" xfId="84"/>
    <cellStyle name="Comma [0] 2 10" xfId="78"/>
    <cellStyle name="Comma [0] 2 11" xfId="85"/>
    <cellStyle name="Comma [0] 2 12" xfId="86"/>
    <cellStyle name="Comma [0] 2 13" xfId="39"/>
    <cellStyle name="Comma [0] 2 14" xfId="87"/>
    <cellStyle name="Comma [0] 2 15" xfId="88"/>
    <cellStyle name="Comma [0] 2 16" xfId="90"/>
    <cellStyle name="Comma [0] 2 17" xfId="9"/>
    <cellStyle name="Comma [0] 2 18" xfId="92"/>
    <cellStyle name="Comma [0] 2 19" xfId="94"/>
    <cellStyle name="Comma [0] 2 2" xfId="96"/>
    <cellStyle name="Comma [0] 2 2 2" xfId="1709"/>
    <cellStyle name="Comma [0] 2 20" xfId="89"/>
    <cellStyle name="Comma [0] 2 21" xfId="91"/>
    <cellStyle name="Comma [0] 2 22" xfId="10"/>
    <cellStyle name="Comma [0] 2 23" xfId="93"/>
    <cellStyle name="Comma [0] 2 24" xfId="95"/>
    <cellStyle name="Comma [0] 2 25" xfId="99"/>
    <cellStyle name="Comma [0] 2 26" xfId="101"/>
    <cellStyle name="Comma [0] 2 27" xfId="103"/>
    <cellStyle name="Comma [0] 2 28" xfId="105"/>
    <cellStyle name="Comma [0] 2 29" xfId="107"/>
    <cellStyle name="Comma [0] 2 3" xfId="109"/>
    <cellStyle name="Comma [0] 2 30" xfId="100"/>
    <cellStyle name="Comma [0] 2 31" xfId="102"/>
    <cellStyle name="Comma [0] 2 32" xfId="104"/>
    <cellStyle name="Comma [0] 2 33" xfId="106"/>
    <cellStyle name="Comma [0] 2 34" xfId="108"/>
    <cellStyle name="Comma [0] 2 35" xfId="112"/>
    <cellStyle name="Comma [0] 2 36" xfId="114"/>
    <cellStyle name="Comma [0] 2 37" xfId="117"/>
    <cellStyle name="Comma [0] 2 38" xfId="120"/>
    <cellStyle name="Comma [0] 2 39" xfId="35"/>
    <cellStyle name="Comma [0] 2 4" xfId="121"/>
    <cellStyle name="Comma [0] 2 40" xfId="113"/>
    <cellStyle name="Comma [0] 2 41" xfId="115"/>
    <cellStyle name="Comma [0] 2 42" xfId="118"/>
    <cellStyle name="Comma [0] 2 5" xfId="124"/>
    <cellStyle name="Comma [0] 2 6" xfId="128"/>
    <cellStyle name="Comma [0] 2 7" xfId="131"/>
    <cellStyle name="Comma [0] 2 8" xfId="134"/>
    <cellStyle name="Comma [0] 2 9" xfId="138"/>
    <cellStyle name="Comma [0] 3" xfId="142"/>
    <cellStyle name="Comma [0] 3 10" xfId="143"/>
    <cellStyle name="Comma [0] 3 11" xfId="145"/>
    <cellStyle name="Comma [0] 3 12" xfId="146"/>
    <cellStyle name="Comma [0] 3 13" xfId="147"/>
    <cellStyle name="Comma [0] 3 14" xfId="148"/>
    <cellStyle name="Comma [0] 3 15" xfId="149"/>
    <cellStyle name="Comma [0] 3 16" xfId="40"/>
    <cellStyle name="Comma [0] 3 17" xfId="151"/>
    <cellStyle name="Comma [0] 3 18" xfId="154"/>
    <cellStyle name="Comma [0] 3 19" xfId="157"/>
    <cellStyle name="Comma [0] 3 2" xfId="159"/>
    <cellStyle name="Comma [0] 3 2 10" xfId="162"/>
    <cellStyle name="Comma [0] 3 2 11" xfId="165"/>
    <cellStyle name="Comma [0] 3 2 12" xfId="168"/>
    <cellStyle name="Comma [0] 3 2 13" xfId="171"/>
    <cellStyle name="Comma [0] 3 2 14" xfId="174"/>
    <cellStyle name="Comma [0] 3 2 15" xfId="177"/>
    <cellStyle name="Comma [0] 3 2 16" xfId="181"/>
    <cellStyle name="Comma [0] 3 2 17" xfId="26"/>
    <cellStyle name="Comma [0] 3 2 18" xfId="185"/>
    <cellStyle name="Comma [0] 3 2 19" xfId="189"/>
    <cellStyle name="Comma [0] 3 2 2" xfId="193"/>
    <cellStyle name="Comma [0] 3 2 20" xfId="178"/>
    <cellStyle name="Comma [0] 3 2 21" xfId="182"/>
    <cellStyle name="Comma [0] 3 2 22" xfId="27"/>
    <cellStyle name="Comma [0] 3 2 23" xfId="186"/>
    <cellStyle name="Comma [0] 3 2 24" xfId="190"/>
    <cellStyle name="Comma [0] 3 2 25" xfId="196"/>
    <cellStyle name="Comma [0] 3 2 26" xfId="200"/>
    <cellStyle name="Comma [0] 3 2 27" xfId="204"/>
    <cellStyle name="Comma [0] 3 2 28" xfId="208"/>
    <cellStyle name="Comma [0] 3 2 29" xfId="212"/>
    <cellStyle name="Comma [0] 3 2 3" xfId="216"/>
    <cellStyle name="Comma [0] 3 2 30" xfId="197"/>
    <cellStyle name="Comma [0] 3 2 31" xfId="201"/>
    <cellStyle name="Comma [0] 3 2 32" xfId="205"/>
    <cellStyle name="Comma [0] 3 2 33" xfId="209"/>
    <cellStyle name="Comma [0] 3 2 34" xfId="213"/>
    <cellStyle name="Comma [0] 3 2 35" xfId="219"/>
    <cellStyle name="Comma [0] 3 2 36" xfId="223"/>
    <cellStyle name="Comma [0] 3 2 37" xfId="227"/>
    <cellStyle name="Comma [0] 3 2 38" xfId="231"/>
    <cellStyle name="Comma [0] 3 2 39" xfId="235"/>
    <cellStyle name="Comma [0] 3 2 4" xfId="239"/>
    <cellStyle name="Comma [0] 3 2 40" xfId="220"/>
    <cellStyle name="Comma [0] 3 2 41" xfId="224"/>
    <cellStyle name="Comma [0] 3 2 42" xfId="228"/>
    <cellStyle name="Comma [0] 3 2 43" xfId="232"/>
    <cellStyle name="Comma [0] 3 2 44" xfId="236"/>
    <cellStyle name="Comma [0] 3 2 45" xfId="242"/>
    <cellStyle name="Comma [0] 3 2 46" xfId="246"/>
    <cellStyle name="Comma [0] 3 2 47" xfId="249"/>
    <cellStyle name="Comma [0] 3 2 48" xfId="252"/>
    <cellStyle name="Comma [0] 3 2 49" xfId="255"/>
    <cellStyle name="Comma [0] 3 2 5" xfId="50"/>
    <cellStyle name="Comma [0] 3 2 50" xfId="243"/>
    <cellStyle name="Comma [0] 3 2 51" xfId="247"/>
    <cellStyle name="Comma [0] 3 2 52" xfId="250"/>
    <cellStyle name="Comma [0] 3 2 53" xfId="253"/>
    <cellStyle name="Comma [0] 3 2 54" xfId="256"/>
    <cellStyle name="Comma [0] 3 2 55" xfId="257"/>
    <cellStyle name="Comma [0] 3 2 56" xfId="259"/>
    <cellStyle name="Comma [0] 3 2 57" xfId="261"/>
    <cellStyle name="Comma [0] 3 2 58" xfId="263"/>
    <cellStyle name="Comma [0] 3 2 59" xfId="265"/>
    <cellStyle name="Comma [0] 3 2 6" xfId="61"/>
    <cellStyle name="Comma [0] 3 2 60" xfId="258"/>
    <cellStyle name="Comma [0] 3 2 61" xfId="260"/>
    <cellStyle name="Comma [0] 3 2 62" xfId="262"/>
    <cellStyle name="Comma [0] 3 2 63" xfId="264"/>
    <cellStyle name="Comma [0] 3 2 64" xfId="266"/>
    <cellStyle name="Comma [0] 3 2 65" xfId="7"/>
    <cellStyle name="Comma [0] 3 2 66" xfId="14"/>
    <cellStyle name="Comma [0] 3 2 67" xfId="267"/>
    <cellStyle name="Comma [0] 3 2 68" xfId="269"/>
    <cellStyle name="Comma [0] 3 2 69" xfId="271"/>
    <cellStyle name="Comma [0] 3 2 7" xfId="29"/>
    <cellStyle name="Comma [0] 3 2 70" xfId="8"/>
    <cellStyle name="Comma [0] 3 2 71" xfId="15"/>
    <cellStyle name="Comma [0] 3 2 72" xfId="268"/>
    <cellStyle name="Comma [0] 3 2 73" xfId="270"/>
    <cellStyle name="Comma [0] 3 2 74" xfId="272"/>
    <cellStyle name="Comma [0] 3 2 75" xfId="273"/>
    <cellStyle name="Comma [0] 3 2 76" xfId="275"/>
    <cellStyle name="Comma [0] 3 2 77" xfId="191"/>
    <cellStyle name="Comma [0] 3 2 78" xfId="214"/>
    <cellStyle name="Comma [0] 3 2 79" xfId="237"/>
    <cellStyle name="Comma [0] 3 2 8" xfId="17"/>
    <cellStyle name="Comma [0] 3 2 80" xfId="274"/>
    <cellStyle name="Comma [0] 3 2 81" xfId="276"/>
    <cellStyle name="Comma [0] 3 2 82" xfId="192"/>
    <cellStyle name="Comma [0] 3 2 83" xfId="215"/>
    <cellStyle name="Comma [0] 3 2 84" xfId="238"/>
    <cellStyle name="Comma [0] 3 2 85" xfId="49"/>
    <cellStyle name="Comma [0] 3 2 86" xfId="60"/>
    <cellStyle name="Comma [0] 3 2 87" xfId="28"/>
    <cellStyle name="Comma [0] 3 2 9" xfId="71"/>
    <cellStyle name="Comma [0] 3 20" xfId="150"/>
    <cellStyle name="Comma [0] 3 21" xfId="41"/>
    <cellStyle name="Comma [0] 3 22" xfId="152"/>
    <cellStyle name="Comma [0] 3 23" xfId="155"/>
    <cellStyle name="Comma [0] 3 24" xfId="158"/>
    <cellStyle name="Comma [0] 3 25" xfId="277"/>
    <cellStyle name="Comma [0] 3 26" xfId="280"/>
    <cellStyle name="Comma [0] 3 27" xfId="283"/>
    <cellStyle name="Comma [0] 3 28" xfId="286"/>
    <cellStyle name="Comma [0] 3 29" xfId="289"/>
    <cellStyle name="Comma [0] 3 3" xfId="292"/>
    <cellStyle name="Comma [0] 3 3 10" xfId="294"/>
    <cellStyle name="Comma [0] 3 3 11" xfId="296"/>
    <cellStyle name="Comma [0] 3 3 12" xfId="297"/>
    <cellStyle name="Comma [0] 3 3 13" xfId="11"/>
    <cellStyle name="Comma [0] 3 3 14" xfId="298"/>
    <cellStyle name="Comma [0] 3 3 15" xfId="299"/>
    <cellStyle name="Comma [0] 3 3 16" xfId="301"/>
    <cellStyle name="Comma [0] 3 3 17" xfId="303"/>
    <cellStyle name="Comma [0] 3 3 18" xfId="305"/>
    <cellStyle name="Comma [0] 3 3 19" xfId="307"/>
    <cellStyle name="Comma [0] 3 3 2" xfId="153"/>
    <cellStyle name="Comma [0] 3 3 20" xfId="300"/>
    <cellStyle name="Comma [0] 3 3 21" xfId="302"/>
    <cellStyle name="Comma [0] 3 3 22" xfId="304"/>
    <cellStyle name="Comma [0] 3 3 23" xfId="306"/>
    <cellStyle name="Comma [0] 3 3 24" xfId="308"/>
    <cellStyle name="Comma [0] 3 3 25" xfId="309"/>
    <cellStyle name="Comma [0] 3 3 26" xfId="21"/>
    <cellStyle name="Comma [0] 3 3 27" xfId="311"/>
    <cellStyle name="Comma [0] 3 3 28" xfId="313"/>
    <cellStyle name="Comma [0] 3 3 29" xfId="315"/>
    <cellStyle name="Comma [0] 3 3 3" xfId="156"/>
    <cellStyle name="Comma [0] 3 3 30" xfId="310"/>
    <cellStyle name="Comma [0] 3 3 31" xfId="22"/>
    <cellStyle name="Comma [0] 3 3 32" xfId="312"/>
    <cellStyle name="Comma [0] 3 3 33" xfId="314"/>
    <cellStyle name="Comma [0] 3 3 34" xfId="316"/>
    <cellStyle name="Comma [0] 3 3 35" xfId="317"/>
    <cellStyle name="Comma [0] 3 3 36" xfId="319"/>
    <cellStyle name="Comma [0] 3 3 37" xfId="321"/>
    <cellStyle name="Comma [0] 3 3 38" xfId="323"/>
    <cellStyle name="Comma [0] 3 3 39" xfId="325"/>
    <cellStyle name="Comma [0] 3 3 4" xfId="279"/>
    <cellStyle name="Comma [0] 3 3 40" xfId="318"/>
    <cellStyle name="Comma [0] 3 3 41" xfId="320"/>
    <cellStyle name="Comma [0] 3 3 42" xfId="322"/>
    <cellStyle name="Comma [0] 3 3 43" xfId="324"/>
    <cellStyle name="Comma [0] 3 3 44" xfId="326"/>
    <cellStyle name="Comma [0] 3 3 45" xfId="327"/>
    <cellStyle name="Comma [0] 3 3 46" xfId="329"/>
    <cellStyle name="Comma [0] 3 3 47" xfId="331"/>
    <cellStyle name="Comma [0] 3 3 48" xfId="333"/>
    <cellStyle name="Comma [0] 3 3 49" xfId="336"/>
    <cellStyle name="Comma [0] 3 3 5" xfId="282"/>
    <cellStyle name="Comma [0] 3 3 50" xfId="328"/>
    <cellStyle name="Comma [0] 3 3 51" xfId="330"/>
    <cellStyle name="Comma [0] 3 3 52" xfId="332"/>
    <cellStyle name="Comma [0] 3 3 53" xfId="334"/>
    <cellStyle name="Comma [0] 3 3 54" xfId="337"/>
    <cellStyle name="Comma [0] 3 3 55" xfId="339"/>
    <cellStyle name="Comma [0] 3 3 56" xfId="342"/>
    <cellStyle name="Comma [0] 3 3 57" xfId="344"/>
    <cellStyle name="Comma [0] 3 3 58" xfId="346"/>
    <cellStyle name="Comma [0] 3 3 59" xfId="348"/>
    <cellStyle name="Comma [0] 3 3 6" xfId="285"/>
    <cellStyle name="Comma [0] 3 3 60" xfId="340"/>
    <cellStyle name="Comma [0] 3 3 61" xfId="343"/>
    <cellStyle name="Comma [0] 3 3 62" xfId="345"/>
    <cellStyle name="Comma [0] 3 3 63" xfId="347"/>
    <cellStyle name="Comma [0] 3 3 64" xfId="349"/>
    <cellStyle name="Comma [0] 3 3 65" xfId="350"/>
    <cellStyle name="Comma [0] 3 3 66" xfId="352"/>
    <cellStyle name="Comma [0] 3 3 67" xfId="354"/>
    <cellStyle name="Comma [0] 3 3 68" xfId="356"/>
    <cellStyle name="Comma [0] 3 3 69" xfId="358"/>
    <cellStyle name="Comma [0] 3 3 7" xfId="288"/>
    <cellStyle name="Comma [0] 3 3 70" xfId="351"/>
    <cellStyle name="Comma [0] 3 3 71" xfId="353"/>
    <cellStyle name="Comma [0] 3 3 72" xfId="355"/>
    <cellStyle name="Comma [0] 3 3 73" xfId="357"/>
    <cellStyle name="Comma [0] 3 3 74" xfId="359"/>
    <cellStyle name="Comma [0] 3 3 75" xfId="360"/>
    <cellStyle name="Comma [0] 3 3 76" xfId="362"/>
    <cellStyle name="Comma [0] 3 3 77" xfId="365"/>
    <cellStyle name="Comma [0] 3 3 78" xfId="368"/>
    <cellStyle name="Comma [0] 3 3 79" xfId="371"/>
    <cellStyle name="Comma [0] 3 3 8" xfId="291"/>
    <cellStyle name="Comma [0] 3 3 80" xfId="361"/>
    <cellStyle name="Comma [0] 3 3 81" xfId="363"/>
    <cellStyle name="Comma [0] 3 3 82" xfId="366"/>
    <cellStyle name="Comma [0] 3 3 83" xfId="369"/>
    <cellStyle name="Comma [0] 3 3 84" xfId="372"/>
    <cellStyle name="Comma [0] 3 3 9" xfId="375"/>
    <cellStyle name="Comma [0] 3 30" xfId="278"/>
    <cellStyle name="Comma [0] 3 31" xfId="281"/>
    <cellStyle name="Comma [0] 3 32" xfId="284"/>
    <cellStyle name="Comma [0] 3 33" xfId="287"/>
    <cellStyle name="Comma [0] 3 34" xfId="290"/>
    <cellStyle name="Comma [0] 3 35" xfId="373"/>
    <cellStyle name="Comma [0] 3 36" xfId="4"/>
    <cellStyle name="Comma [0] 3 37" xfId="377"/>
    <cellStyle name="Comma [0] 3 38" xfId="380"/>
    <cellStyle name="Comma [0] 3 39" xfId="383"/>
    <cellStyle name="Comma [0] 3 4" xfId="385"/>
    <cellStyle name="Comma [0] 3 40" xfId="374"/>
    <cellStyle name="Comma [0] 3 41" xfId="5"/>
    <cellStyle name="Comma [0] 3 42" xfId="378"/>
    <cellStyle name="Comma [0] 3 43" xfId="381"/>
    <cellStyle name="Comma [0] 3 44" xfId="384"/>
    <cellStyle name="Comma [0] 3 45" xfId="386"/>
    <cellStyle name="Comma [0] 3 46" xfId="388"/>
    <cellStyle name="Comma [0] 3 47" xfId="390"/>
    <cellStyle name="Comma [0] 3 48" xfId="392"/>
    <cellStyle name="Comma [0] 3 49" xfId="394"/>
    <cellStyle name="Comma [0] 3 5" xfId="396"/>
    <cellStyle name="Comma [0] 3 50" xfId="387"/>
    <cellStyle name="Comma [0] 3 51" xfId="389"/>
    <cellStyle name="Comma [0] 3 52" xfId="391"/>
    <cellStyle name="Comma [0] 3 53" xfId="393"/>
    <cellStyle name="Comma [0] 3 54" xfId="395"/>
    <cellStyle name="Comma [0] 3 55" xfId="397"/>
    <cellStyle name="Comma [0] 3 56" xfId="81"/>
    <cellStyle name="Comma [0] 3 57" xfId="139"/>
    <cellStyle name="Comma [0] 3 58" xfId="401"/>
    <cellStyle name="Comma [0] 3 59" xfId="405"/>
    <cellStyle name="Comma [0] 3 6" xfId="407"/>
    <cellStyle name="Comma [0] 3 60" xfId="398"/>
    <cellStyle name="Comma [0] 3 61" xfId="82"/>
    <cellStyle name="Comma [0] 3 62" xfId="140"/>
    <cellStyle name="Comma [0] 3 63" xfId="402"/>
    <cellStyle name="Comma [0] 3 64" xfId="406"/>
    <cellStyle name="Comma [0] 3 65" xfId="408"/>
    <cellStyle name="Comma [0] 3 66" xfId="410"/>
    <cellStyle name="Comma [0] 3 67" xfId="412"/>
    <cellStyle name="Comma [0] 3 68" xfId="414"/>
    <cellStyle name="Comma [0] 3 69" xfId="416"/>
    <cellStyle name="Comma [0] 3 7" xfId="418"/>
    <cellStyle name="Comma [0] 3 7 2" xfId="364"/>
    <cellStyle name="Comma [0] 3 7 3" xfId="367"/>
    <cellStyle name="Comma [0] 3 7 4" xfId="370"/>
    <cellStyle name="Comma [0] 3 70" xfId="409"/>
    <cellStyle name="Comma [0] 3 71" xfId="411"/>
    <cellStyle name="Comma [0] 3 72" xfId="413"/>
    <cellStyle name="Comma [0] 3 73" xfId="415"/>
    <cellStyle name="Comma [0] 3 74" xfId="417"/>
    <cellStyle name="Comma [0] 3 75" xfId="419"/>
    <cellStyle name="Comma [0] 3 76" xfId="421"/>
    <cellStyle name="Comma [0] 3 77" xfId="423"/>
    <cellStyle name="Comma [0] 3 78" xfId="425"/>
    <cellStyle name="Comma [0] 3 79" xfId="427"/>
    <cellStyle name="Comma [0] 3 8" xfId="429"/>
    <cellStyle name="Comma [0] 3 8 2" xfId="432"/>
    <cellStyle name="Comma [0] 3 8 2 2" xfId="1713"/>
    <cellStyle name="Comma [0] 3 8 3" xfId="435"/>
    <cellStyle name="Comma [0] 3 8 3 2" xfId="1714"/>
    <cellStyle name="Comma [0] 3 8 4" xfId="438"/>
    <cellStyle name="Comma [0] 3 8 4 2" xfId="1715"/>
    <cellStyle name="Comma [0] 3 8 5" xfId="1716"/>
    <cellStyle name="Comma [0] 3 80" xfId="420"/>
    <cellStyle name="Comma [0] 3 81" xfId="422"/>
    <cellStyle name="Comma [0] 3 82" xfId="424"/>
    <cellStyle name="Comma [0] 3 83" xfId="426"/>
    <cellStyle name="Comma [0] 3 84" xfId="428"/>
    <cellStyle name="Comma [0] 3 85" xfId="439"/>
    <cellStyle name="Comma [0] 3 86" xfId="441"/>
    <cellStyle name="Comma [0] 3 87" xfId="444"/>
    <cellStyle name="Comma [0] 3 88" xfId="446"/>
    <cellStyle name="Comma [0] 3 89" xfId="448"/>
    <cellStyle name="Comma [0] 3 89 2" xfId="1717"/>
    <cellStyle name="Comma [0] 3 9" xfId="30"/>
    <cellStyle name="Comma [0] 3 9 2" xfId="1718"/>
    <cellStyle name="Comma [0] 3 90" xfId="440"/>
    <cellStyle name="Comma [0] 3 90 2" xfId="1719"/>
    <cellStyle name="Comma [0] 3 91" xfId="442"/>
    <cellStyle name="Comma [0] 3 91 2" xfId="1720"/>
    <cellStyle name="Comma [0] 3 92" xfId="445"/>
    <cellStyle name="Comma [0] 3 93" xfId="447"/>
    <cellStyle name="Comma [0] 3 94" xfId="449"/>
    <cellStyle name="Comma [0] 3 94 2" xfId="1721"/>
    <cellStyle name="Comma [0] 3 95" xfId="450"/>
    <cellStyle name="Comma [0] 3 96" xfId="1722"/>
    <cellStyle name="Comma [0] 4" xfId="400"/>
    <cellStyle name="Comma [0] 4 10" xfId="451"/>
    <cellStyle name="Comma [0] 4 11" xfId="452"/>
    <cellStyle name="Comma [0] 4 12" xfId="453"/>
    <cellStyle name="Comma [0] 4 13" xfId="454"/>
    <cellStyle name="Comma [0] 4 14" xfId="455"/>
    <cellStyle name="Comma [0] 4 15" xfId="456"/>
    <cellStyle name="Comma [0] 4 16" xfId="458"/>
    <cellStyle name="Comma [0] 4 17" xfId="460"/>
    <cellStyle name="Comma [0] 4 18" xfId="430"/>
    <cellStyle name="Comma [0] 4 19" xfId="433"/>
    <cellStyle name="Comma [0] 4 2" xfId="462"/>
    <cellStyle name="Comma [0] 4 20" xfId="457"/>
    <cellStyle name="Comma [0] 4 21" xfId="459"/>
    <cellStyle name="Comma [0] 4 22" xfId="461"/>
    <cellStyle name="Comma [0] 4 23" xfId="431"/>
    <cellStyle name="Comma [0] 4 24" xfId="434"/>
    <cellStyle name="Comma [0] 4 25" xfId="436"/>
    <cellStyle name="Comma [0] 4 26" xfId="463"/>
    <cellStyle name="Comma [0] 4 27" xfId="465"/>
    <cellStyle name="Comma [0] 4 28" xfId="467"/>
    <cellStyle name="Comma [0] 4 29" xfId="469"/>
    <cellStyle name="Comma [0] 4 3" xfId="471"/>
    <cellStyle name="Comma [0] 4 30" xfId="437"/>
    <cellStyle name="Comma [0] 4 31" xfId="464"/>
    <cellStyle name="Comma [0] 4 32" xfId="466"/>
    <cellStyle name="Comma [0] 4 33" xfId="468"/>
    <cellStyle name="Comma [0] 4 34" xfId="470"/>
    <cellStyle name="Comma [0] 4 35" xfId="472"/>
    <cellStyle name="Comma [0] 4 36" xfId="474"/>
    <cellStyle name="Comma [0] 4 37" xfId="476"/>
    <cellStyle name="Comma [0] 4 38" xfId="36"/>
    <cellStyle name="Comma [0] 4 39" xfId="1"/>
    <cellStyle name="Comma [0] 4 4" xfId="478"/>
    <cellStyle name="Comma [0] 4 40" xfId="473"/>
    <cellStyle name="Comma [0] 4 41" xfId="475"/>
    <cellStyle name="Comma [0] 4 42" xfId="477"/>
    <cellStyle name="Comma [0] 4 43" xfId="37"/>
    <cellStyle name="Comma [0] 4 44" xfId="2"/>
    <cellStyle name="Comma [0] 4 45" xfId="479"/>
    <cellStyle name="Comma [0] 4 46" xfId="481"/>
    <cellStyle name="Comma [0] 4 47" xfId="483"/>
    <cellStyle name="Comma [0] 4 48" xfId="485"/>
    <cellStyle name="Comma [0] 4 49" xfId="487"/>
    <cellStyle name="Comma [0] 4 5" xfId="489"/>
    <cellStyle name="Comma [0] 4 50" xfId="480"/>
    <cellStyle name="Comma [0] 4 51" xfId="482"/>
    <cellStyle name="Comma [0] 4 52" xfId="484"/>
    <cellStyle name="Comma [0] 4 53" xfId="486"/>
    <cellStyle name="Comma [0] 4 54" xfId="488"/>
    <cellStyle name="Comma [0] 4 55" xfId="490"/>
    <cellStyle name="Comma [0] 4 56" xfId="492"/>
    <cellStyle name="Comma [0] 4 57" xfId="494"/>
    <cellStyle name="Comma [0] 4 58" xfId="496"/>
    <cellStyle name="Comma [0] 4 59" xfId="498"/>
    <cellStyle name="Comma [0] 4 6" xfId="500"/>
    <cellStyle name="Comma [0] 4 60" xfId="491"/>
    <cellStyle name="Comma [0] 4 61" xfId="493"/>
    <cellStyle name="Comma [0] 4 62" xfId="495"/>
    <cellStyle name="Comma [0] 4 63" xfId="497"/>
    <cellStyle name="Comma [0] 4 64" xfId="499"/>
    <cellStyle name="Comma [0] 4 65" xfId="501"/>
    <cellStyle name="Comma [0] 4 66" xfId="503"/>
    <cellStyle name="Comma [0] 4 67" xfId="505"/>
    <cellStyle name="Comma [0] 4 68" xfId="507"/>
    <cellStyle name="Comma [0] 4 69" xfId="509"/>
    <cellStyle name="Comma [0] 4 7" xfId="511"/>
    <cellStyle name="Comma [0] 4 70" xfId="502"/>
    <cellStyle name="Comma [0] 4 71" xfId="504"/>
    <cellStyle name="Comma [0] 4 72" xfId="506"/>
    <cellStyle name="Comma [0] 4 73" xfId="508"/>
    <cellStyle name="Comma [0] 4 74" xfId="510"/>
    <cellStyle name="Comma [0] 4 75" xfId="512"/>
    <cellStyle name="Comma [0] 4 76" xfId="72"/>
    <cellStyle name="Comma [0] 4 77" xfId="42"/>
    <cellStyle name="Comma [0] 4 78" xfId="51"/>
    <cellStyle name="Comma [0] 4 79" xfId="62"/>
    <cellStyle name="Comma [0] 4 8" xfId="514"/>
    <cellStyle name="Comma [0] 4 80" xfId="513"/>
    <cellStyle name="Comma [0] 4 81" xfId="73"/>
    <cellStyle name="Comma [0] 4 82" xfId="43"/>
    <cellStyle name="Comma [0] 4 83" xfId="52"/>
    <cellStyle name="Comma [0] 4 9" xfId="515"/>
    <cellStyle name="Comma [0] 5" xfId="404"/>
    <cellStyle name="Comma [0] 5 10" xfId="516"/>
    <cellStyle name="Comma [0] 5 11" xfId="517"/>
    <cellStyle name="Comma [0] 5 12" xfId="518"/>
    <cellStyle name="Comma [0] 5 13" xfId="519"/>
    <cellStyle name="Comma [0] 5 14" xfId="520"/>
    <cellStyle name="Comma [0] 5 15" xfId="521"/>
    <cellStyle name="Comma [0] 5 16" xfId="523"/>
    <cellStyle name="Comma [0] 5 17" xfId="525"/>
    <cellStyle name="Comma [0] 5 18" xfId="527"/>
    <cellStyle name="Comma [0] 5 19" xfId="529"/>
    <cellStyle name="Comma [0] 5 2" xfId="531"/>
    <cellStyle name="Comma [0] 5 20" xfId="522"/>
    <cellStyle name="Comma [0] 5 21" xfId="524"/>
    <cellStyle name="Comma [0] 5 22" xfId="526"/>
    <cellStyle name="Comma [0] 5 23" xfId="528"/>
    <cellStyle name="Comma [0] 5 24" xfId="530"/>
    <cellStyle name="Comma [0] 5 25" xfId="532"/>
    <cellStyle name="Comma [0] 5 26" xfId="534"/>
    <cellStyle name="Comma [0] 5 27" xfId="536"/>
    <cellStyle name="Comma [0] 5 28" xfId="538"/>
    <cellStyle name="Comma [0] 5 29" xfId="540"/>
    <cellStyle name="Comma [0] 5 3" xfId="542"/>
    <cellStyle name="Comma [0] 5 30" xfId="533"/>
    <cellStyle name="Comma [0] 5 31" xfId="535"/>
    <cellStyle name="Comma [0] 5 32" xfId="537"/>
    <cellStyle name="Comma [0] 5 33" xfId="539"/>
    <cellStyle name="Comma [0] 5 34" xfId="541"/>
    <cellStyle name="Comma [0] 5 35" xfId="543"/>
    <cellStyle name="Comma [0] 5 36" xfId="545"/>
    <cellStyle name="Comma [0] 5 37" xfId="547"/>
    <cellStyle name="Comma [0] 5 38" xfId="549"/>
    <cellStyle name="Comma [0] 5 39" xfId="551"/>
    <cellStyle name="Comma [0] 5 4" xfId="553"/>
    <cellStyle name="Comma [0] 5 40" xfId="544"/>
    <cellStyle name="Comma [0] 5 41" xfId="546"/>
    <cellStyle name="Comma [0] 5 42" xfId="548"/>
    <cellStyle name="Comma [0] 5 43" xfId="550"/>
    <cellStyle name="Comma [0] 5 44" xfId="552"/>
    <cellStyle name="Comma [0] 5 45" xfId="554"/>
    <cellStyle name="Comma [0] 5 46" xfId="556"/>
    <cellStyle name="Comma [0] 5 47" xfId="558"/>
    <cellStyle name="Comma [0] 5 48" xfId="560"/>
    <cellStyle name="Comma [0] 5 49" xfId="562"/>
    <cellStyle name="Comma [0] 5 5" xfId="564"/>
    <cellStyle name="Comma [0] 5 50" xfId="555"/>
    <cellStyle name="Comma [0] 5 51" xfId="557"/>
    <cellStyle name="Comma [0] 5 52" xfId="559"/>
    <cellStyle name="Comma [0] 5 53" xfId="561"/>
    <cellStyle name="Comma [0] 5 54" xfId="563"/>
    <cellStyle name="Comma [0] 5 55" xfId="565"/>
    <cellStyle name="Comma [0] 5 56" xfId="97"/>
    <cellStyle name="Comma [0] 5 57" xfId="110"/>
    <cellStyle name="Comma [0] 5 58" xfId="122"/>
    <cellStyle name="Comma [0] 5 59" xfId="125"/>
    <cellStyle name="Comma [0] 5 6" xfId="567"/>
    <cellStyle name="Comma [0] 5 60" xfId="566"/>
    <cellStyle name="Comma [0] 5 61" xfId="98"/>
    <cellStyle name="Comma [0] 5 62" xfId="111"/>
    <cellStyle name="Comma [0] 5 63" xfId="123"/>
    <cellStyle name="Comma [0] 5 64" xfId="126"/>
    <cellStyle name="Comma [0] 5 65" xfId="129"/>
    <cellStyle name="Comma [0] 5 66" xfId="132"/>
    <cellStyle name="Comma [0] 5 67" xfId="135"/>
    <cellStyle name="Comma [0] 5 68" xfId="137"/>
    <cellStyle name="Comma [0] 5 69" xfId="569"/>
    <cellStyle name="Comma [0] 5 7" xfId="570"/>
    <cellStyle name="Comma [0] 5 70" xfId="127"/>
    <cellStyle name="Comma [0] 5 71" xfId="130"/>
    <cellStyle name="Comma [0] 5 72" xfId="133"/>
    <cellStyle name="Comma [0] 5 73" xfId="136"/>
    <cellStyle name="Comma [0] 5 74" xfId="568"/>
    <cellStyle name="Comma [0] 5 75" xfId="572"/>
    <cellStyle name="Comma [0] 5 76" xfId="574"/>
    <cellStyle name="Comma [0] 5 77" xfId="576"/>
    <cellStyle name="Comma [0] 5 78" xfId="578"/>
    <cellStyle name="Comma [0] 5 79" xfId="581"/>
    <cellStyle name="Comma [0] 5 8" xfId="582"/>
    <cellStyle name="Comma [0] 5 80" xfId="571"/>
    <cellStyle name="Comma [0] 5 81" xfId="573"/>
    <cellStyle name="Comma [0] 5 82" xfId="575"/>
    <cellStyle name="Comma [0] 5 83" xfId="577"/>
    <cellStyle name="Comma [0] 5 84" xfId="580"/>
    <cellStyle name="Comma [0] 5 85" xfId="584"/>
    <cellStyle name="Comma [0] 5 86" xfId="586"/>
    <cellStyle name="Comma [0] 5 87" xfId="588"/>
    <cellStyle name="Comma [0] 5 9" xfId="589"/>
    <cellStyle name="Comma [0] 6" xfId="590"/>
    <cellStyle name="Comma [0] 6 10" xfId="591"/>
    <cellStyle name="Comma [0] 6 10 2" xfId="1723"/>
    <cellStyle name="Comma [0] 6 11" xfId="593"/>
    <cellStyle name="Comma [0] 6 11 2" xfId="1724"/>
    <cellStyle name="Comma [0] 6 12" xfId="595"/>
    <cellStyle name="Comma [0] 6 12 2" xfId="1725"/>
    <cellStyle name="Comma [0] 6 13" xfId="597"/>
    <cellStyle name="Comma [0] 6 13 2" xfId="1726"/>
    <cellStyle name="Comma [0] 6 14" xfId="599"/>
    <cellStyle name="Comma [0] 6 14 2" xfId="1727"/>
    <cellStyle name="Comma [0] 6 15" xfId="602"/>
    <cellStyle name="Comma [0] 6 15 2" xfId="1728"/>
    <cellStyle name="Comma [0] 6 16" xfId="605"/>
    <cellStyle name="Comma [0] 6 16 2" xfId="1729"/>
    <cellStyle name="Comma [0] 6 17" xfId="608"/>
    <cellStyle name="Comma [0] 6 17 2" xfId="1730"/>
    <cellStyle name="Comma [0] 6 18" xfId="611"/>
    <cellStyle name="Comma [0] 6 18 2" xfId="1731"/>
    <cellStyle name="Comma [0] 6 19" xfId="613"/>
    <cellStyle name="Comma [0] 6 19 2" xfId="1732"/>
    <cellStyle name="Comma [0] 6 2" xfId="592"/>
    <cellStyle name="Comma [0] 6 20" xfId="601"/>
    <cellStyle name="Comma [0] 6 20 2" xfId="1733"/>
    <cellStyle name="Comma [0] 6 21" xfId="604"/>
    <cellStyle name="Comma [0] 6 21 2" xfId="1734"/>
    <cellStyle name="Comma [0] 6 22" xfId="607"/>
    <cellStyle name="Comma [0] 6 22 2" xfId="1735"/>
    <cellStyle name="Comma [0] 6 23" xfId="610"/>
    <cellStyle name="Comma [0] 6 23 2" xfId="1736"/>
    <cellStyle name="Comma [0] 6 24" xfId="612"/>
    <cellStyle name="Comma [0] 6 24 2" xfId="1737"/>
    <cellStyle name="Comma [0] 6 25" xfId="615"/>
    <cellStyle name="Comma [0] 6 25 2" xfId="1738"/>
    <cellStyle name="Comma [0] 6 26" xfId="617"/>
    <cellStyle name="Comma [0] 6 26 2" xfId="1739"/>
    <cellStyle name="Comma [0] 6 27" xfId="619"/>
    <cellStyle name="Comma [0] 6 27 2" xfId="1740"/>
    <cellStyle name="Comma [0] 6 28" xfId="621"/>
    <cellStyle name="Comma [0] 6 28 2" xfId="1741"/>
    <cellStyle name="Comma [0] 6 29" xfId="623"/>
    <cellStyle name="Comma [0] 6 29 2" xfId="1742"/>
    <cellStyle name="Comma [0] 6 3" xfId="594"/>
    <cellStyle name="Comma [0] 6 3 2" xfId="1743"/>
    <cellStyle name="Comma [0] 6 30" xfId="614"/>
    <cellStyle name="Comma [0] 6 30 2" xfId="1744"/>
    <cellStyle name="Comma [0] 6 31" xfId="616"/>
    <cellStyle name="Comma [0] 6 31 2" xfId="1745"/>
    <cellStyle name="Comma [0] 6 32" xfId="618"/>
    <cellStyle name="Comma [0] 6 32 2" xfId="1746"/>
    <cellStyle name="Comma [0] 6 33" xfId="620"/>
    <cellStyle name="Comma [0] 6 33 2" xfId="1747"/>
    <cellStyle name="Comma [0] 6 34" xfId="622"/>
    <cellStyle name="Comma [0] 6 34 2" xfId="1748"/>
    <cellStyle name="Comma [0] 6 35" xfId="625"/>
    <cellStyle name="Comma [0] 6 35 2" xfId="1749"/>
    <cellStyle name="Comma [0] 6 36" xfId="627"/>
    <cellStyle name="Comma [0] 6 36 2" xfId="1750"/>
    <cellStyle name="Comma [0] 6 37" xfId="629"/>
    <cellStyle name="Comma [0] 6 37 2" xfId="1751"/>
    <cellStyle name="Comma [0] 6 38" xfId="631"/>
    <cellStyle name="Comma [0] 6 38 2" xfId="1752"/>
    <cellStyle name="Comma [0] 6 39" xfId="633"/>
    <cellStyle name="Comma [0] 6 39 2" xfId="1753"/>
    <cellStyle name="Comma [0] 6 4" xfId="596"/>
    <cellStyle name="Comma [0] 6 4 2" xfId="1754"/>
    <cellStyle name="Comma [0] 6 40" xfId="624"/>
    <cellStyle name="Comma [0] 6 40 2" xfId="1755"/>
    <cellStyle name="Comma [0] 6 41" xfId="626"/>
    <cellStyle name="Comma [0] 6 41 2" xfId="1756"/>
    <cellStyle name="Comma [0] 6 42" xfId="628"/>
    <cellStyle name="Comma [0] 6 42 2" xfId="1757"/>
    <cellStyle name="Comma [0] 6 43" xfId="630"/>
    <cellStyle name="Comma [0] 6 43 2" xfId="1758"/>
    <cellStyle name="Comma [0] 6 44" xfId="632"/>
    <cellStyle name="Comma [0] 6 44 2" xfId="1759"/>
    <cellStyle name="Comma [0] 6 45" xfId="635"/>
    <cellStyle name="Comma [0] 6 45 2" xfId="1760"/>
    <cellStyle name="Comma [0] 6 46" xfId="637"/>
    <cellStyle name="Comma [0] 6 46 2" xfId="1761"/>
    <cellStyle name="Comma [0] 6 47" xfId="639"/>
    <cellStyle name="Comma [0] 6 47 2" xfId="1762"/>
    <cellStyle name="Comma [0] 6 48" xfId="641"/>
    <cellStyle name="Comma [0] 6 48 2" xfId="1763"/>
    <cellStyle name="Comma [0] 6 49" xfId="643"/>
    <cellStyle name="Comma [0] 6 49 2" xfId="1764"/>
    <cellStyle name="Comma [0] 6 5" xfId="598"/>
    <cellStyle name="Comma [0] 6 5 2" xfId="1765"/>
    <cellStyle name="Comma [0] 6 50" xfId="634"/>
    <cellStyle name="Comma [0] 6 50 2" xfId="1766"/>
    <cellStyle name="Comma [0] 6 51" xfId="636"/>
    <cellStyle name="Comma [0] 6 51 2" xfId="1767"/>
    <cellStyle name="Comma [0] 6 52" xfId="638"/>
    <cellStyle name="Comma [0] 6 52 2" xfId="1768"/>
    <cellStyle name="Comma [0] 6 53" xfId="640"/>
    <cellStyle name="Comma [0] 6 53 2" xfId="1769"/>
    <cellStyle name="Comma [0] 6 54" xfId="642"/>
    <cellStyle name="Comma [0] 6 54 2" xfId="1770"/>
    <cellStyle name="Comma [0] 6 55" xfId="645"/>
    <cellStyle name="Comma [0] 6 55 2" xfId="1771"/>
    <cellStyle name="Comma [0] 6 56" xfId="648"/>
    <cellStyle name="Comma [0] 6 56 2" xfId="1772"/>
    <cellStyle name="Comma [0] 6 57" xfId="651"/>
    <cellStyle name="Comma [0] 6 57 2" xfId="1773"/>
    <cellStyle name="Comma [0] 6 58" xfId="654"/>
    <cellStyle name="Comma [0] 6 58 2" xfId="1774"/>
    <cellStyle name="Comma [0] 6 59" xfId="656"/>
    <cellStyle name="Comma [0] 6 59 2" xfId="1775"/>
    <cellStyle name="Comma [0] 6 6" xfId="600"/>
    <cellStyle name="Comma [0] 6 6 2" xfId="1776"/>
    <cellStyle name="Comma [0] 6 60" xfId="644"/>
    <cellStyle name="Comma [0] 6 60 2" xfId="1777"/>
    <cellStyle name="Comma [0] 6 61" xfId="647"/>
    <cellStyle name="Comma [0] 6 61 2" xfId="1778"/>
    <cellStyle name="Comma [0] 6 62" xfId="650"/>
    <cellStyle name="Comma [0] 6 62 2" xfId="1779"/>
    <cellStyle name="Comma [0] 6 63" xfId="653"/>
    <cellStyle name="Comma [0] 6 63 2" xfId="1780"/>
    <cellStyle name="Comma [0] 6 64" xfId="655"/>
    <cellStyle name="Comma [0] 6 64 2" xfId="1781"/>
    <cellStyle name="Comma [0] 6 65" xfId="658"/>
    <cellStyle name="Comma [0] 6 65 2" xfId="1782"/>
    <cellStyle name="Comma [0] 6 66" xfId="660"/>
    <cellStyle name="Comma [0] 6 66 2" xfId="1783"/>
    <cellStyle name="Comma [0] 6 67" xfId="662"/>
    <cellStyle name="Comma [0] 6 67 2" xfId="1784"/>
    <cellStyle name="Comma [0] 6 68" xfId="664"/>
    <cellStyle name="Comma [0] 6 68 2" xfId="1785"/>
    <cellStyle name="Comma [0] 6 69" xfId="666"/>
    <cellStyle name="Comma [0] 6 69 2" xfId="1786"/>
    <cellStyle name="Comma [0] 6 7" xfId="603"/>
    <cellStyle name="Comma [0] 6 7 2" xfId="1787"/>
    <cellStyle name="Comma [0] 6 70" xfId="657"/>
    <cellStyle name="Comma [0] 6 70 2" xfId="1788"/>
    <cellStyle name="Comma [0] 6 71" xfId="659"/>
    <cellStyle name="Comma [0] 6 71 2" xfId="1789"/>
    <cellStyle name="Comma [0] 6 72" xfId="661"/>
    <cellStyle name="Comma [0] 6 72 2" xfId="1790"/>
    <cellStyle name="Comma [0] 6 73" xfId="663"/>
    <cellStyle name="Comma [0] 6 73 2" xfId="1791"/>
    <cellStyle name="Comma [0] 6 74" xfId="665"/>
    <cellStyle name="Comma [0] 6 74 2" xfId="1792"/>
    <cellStyle name="Comma [0] 6 75" xfId="668"/>
    <cellStyle name="Comma [0] 6 75 2" xfId="1793"/>
    <cellStyle name="Comma [0] 6 76" xfId="670"/>
    <cellStyle name="Comma [0] 6 76 2" xfId="1794"/>
    <cellStyle name="Comma [0] 6 77" xfId="672"/>
    <cellStyle name="Comma [0] 6 77 2" xfId="1795"/>
    <cellStyle name="Comma [0] 6 78" xfId="674"/>
    <cellStyle name="Comma [0] 6 78 2" xfId="1796"/>
    <cellStyle name="Comma [0] 6 79" xfId="676"/>
    <cellStyle name="Comma [0] 6 79 2" xfId="1797"/>
    <cellStyle name="Comma [0] 6 8" xfId="606"/>
    <cellStyle name="Comma [0] 6 8 2" xfId="1798"/>
    <cellStyle name="Comma [0] 6 80" xfId="667"/>
    <cellStyle name="Comma [0] 6 80 2" xfId="1799"/>
    <cellStyle name="Comma [0] 6 81" xfId="669"/>
    <cellStyle name="Comma [0] 6 81 2" xfId="1800"/>
    <cellStyle name="Comma [0] 6 82" xfId="671"/>
    <cellStyle name="Comma [0] 6 82 2" xfId="1801"/>
    <cellStyle name="Comma [0] 6 83" xfId="673"/>
    <cellStyle name="Comma [0] 6 83 2" xfId="1802"/>
    <cellStyle name="Comma [0] 6 84" xfId="675"/>
    <cellStyle name="Comma [0] 6 84 2" xfId="1803"/>
    <cellStyle name="Comma [0] 6 85" xfId="1804"/>
    <cellStyle name="Comma [0] 6 9" xfId="609"/>
    <cellStyle name="Comma [0] 6 9 2" xfId="1805"/>
    <cellStyle name="Comma [0] 7" xfId="677"/>
    <cellStyle name="Comma [0] 7 2" xfId="646"/>
    <cellStyle name="Comma [0] 7 3" xfId="649"/>
    <cellStyle name="Comma [0] 7 4" xfId="652"/>
    <cellStyle name="Comma [0] 7 5" xfId="1919"/>
    <cellStyle name="Comma [0] 8" xfId="678"/>
    <cellStyle name="Comma [0] 8 2" xfId="679"/>
    <cellStyle name="Comma [0] 8 2 2" xfId="1706"/>
    <cellStyle name="Comma [0] 8 3" xfId="680"/>
    <cellStyle name="Comma [0] 8 3 2" xfId="1921"/>
    <cellStyle name="Comma [0] 8 4" xfId="681"/>
    <cellStyle name="Comma [0] 8 5" xfId="682"/>
    <cellStyle name="Comma [0] 8 6" xfId="1711"/>
    <cellStyle name="Comma [0] 9" xfId="683"/>
    <cellStyle name="Comma [0] 9 2" xfId="684"/>
    <cellStyle name="Comma 10" xfId="579"/>
    <cellStyle name="Comma 10 2" xfId="1710"/>
    <cellStyle name="Comma 11" xfId="583"/>
    <cellStyle name="Comma 11 2" xfId="685"/>
    <cellStyle name="Comma 11 3" xfId="686"/>
    <cellStyle name="Comma 12" xfId="585"/>
    <cellStyle name="Comma 12 2" xfId="687"/>
    <cellStyle name="Comma 13" xfId="587"/>
    <cellStyle name="Comma 13 2" xfId="690"/>
    <cellStyle name="Comma 14" xfId="691"/>
    <cellStyle name="Comma 15" xfId="693"/>
    <cellStyle name="Comma 16" xfId="695"/>
    <cellStyle name="Comma 17" xfId="697"/>
    <cellStyle name="Comma 18" xfId="699"/>
    <cellStyle name="Comma 19" xfId="701"/>
    <cellStyle name="Comma 2" xfId="704"/>
    <cellStyle name="Comma 2 10" xfId="705"/>
    <cellStyle name="Comma 2 11" xfId="706"/>
    <cellStyle name="Comma 2 12" xfId="707"/>
    <cellStyle name="Comma 2 13" xfId="708"/>
    <cellStyle name="Comma 2 14" xfId="709"/>
    <cellStyle name="Comma 2 15" xfId="711"/>
    <cellStyle name="Comma 2 16" xfId="713"/>
    <cellStyle name="Comma 2 17" xfId="715"/>
    <cellStyle name="Comma 2 18" xfId="717"/>
    <cellStyle name="Comma 2 19" xfId="719"/>
    <cellStyle name="Comma 2 2" xfId="116"/>
    <cellStyle name="Comma 2 2 2" xfId="720"/>
    <cellStyle name="Comma 2 2 2 2" xfId="721"/>
    <cellStyle name="Comma 2 2 2 2 2" xfId="722"/>
    <cellStyle name="Comma 2 2 2 2 3" xfId="723"/>
    <cellStyle name="Comma 2 2 2 2 4" xfId="724"/>
    <cellStyle name="Comma 2 2 2 2 5" xfId="725"/>
    <cellStyle name="Comma 2 2 2 2 6" xfId="726"/>
    <cellStyle name="Comma 2 2 2 2 7" xfId="1806"/>
    <cellStyle name="Comma 2 2 2 3" xfId="727"/>
    <cellStyle name="Comma 2 2 2 4" xfId="728"/>
    <cellStyle name="Comma 2 2 2 5" xfId="729"/>
    <cellStyle name="Comma 2 2 2 6" xfId="730"/>
    <cellStyle name="Comma 2 2 2 7" xfId="1807"/>
    <cellStyle name="Comma 2 2 3" xfId="731"/>
    <cellStyle name="Comma 2 2 4" xfId="732"/>
    <cellStyle name="Comma 2 2 5" xfId="733"/>
    <cellStyle name="Comma 2 2 6" xfId="734"/>
    <cellStyle name="Comma 2 2 7" xfId="735"/>
    <cellStyle name="Comma 2 2 8" xfId="1808"/>
    <cellStyle name="Comma 2 20" xfId="710"/>
    <cellStyle name="Comma 2 21" xfId="712"/>
    <cellStyle name="Comma 2 22" xfId="714"/>
    <cellStyle name="Comma 2 23" xfId="716"/>
    <cellStyle name="Comma 2 24" xfId="718"/>
    <cellStyle name="Comma 2 25" xfId="738"/>
    <cellStyle name="Comma 2 26" xfId="741"/>
    <cellStyle name="Comma 2 27" xfId="744"/>
    <cellStyle name="Comma 2 28" xfId="746"/>
    <cellStyle name="Comma 2 29" xfId="748"/>
    <cellStyle name="Comma 2 3" xfId="119"/>
    <cellStyle name="Comma 2 30" xfId="737"/>
    <cellStyle name="Comma 2 31" xfId="740"/>
    <cellStyle name="Comma 2 32" xfId="743"/>
    <cellStyle name="Comma 2 33" xfId="745"/>
    <cellStyle name="Comma 2 34" xfId="747"/>
    <cellStyle name="Comma 2 35" xfId="750"/>
    <cellStyle name="Comma 2 36" xfId="752"/>
    <cellStyle name="Comma 2 37" xfId="754"/>
    <cellStyle name="Comma 2 38" xfId="756"/>
    <cellStyle name="Comma 2 39" xfId="758"/>
    <cellStyle name="Comma 2 4" xfId="34"/>
    <cellStyle name="Comma 2 40" xfId="749"/>
    <cellStyle name="Comma 2 41" xfId="751"/>
    <cellStyle name="Comma 2 42" xfId="753"/>
    <cellStyle name="Comma 2 43" xfId="755"/>
    <cellStyle name="Comma 2 44" xfId="757"/>
    <cellStyle name="Comma 2 45" xfId="760"/>
    <cellStyle name="Comma 2 46" xfId="762"/>
    <cellStyle name="Comma 2 47" xfId="764"/>
    <cellStyle name="Comma 2 48" xfId="766"/>
    <cellStyle name="Comma 2 49" xfId="768"/>
    <cellStyle name="Comma 2 5" xfId="769"/>
    <cellStyle name="Comma 2 50" xfId="759"/>
    <cellStyle name="Comma 2 51" xfId="761"/>
    <cellStyle name="Comma 2 52" xfId="763"/>
    <cellStyle name="Comma 2 53" xfId="765"/>
    <cellStyle name="Comma 2 54" xfId="767"/>
    <cellStyle name="Comma 2 55" xfId="771"/>
    <cellStyle name="Comma 2 56" xfId="773"/>
    <cellStyle name="Comma 2 57" xfId="775"/>
    <cellStyle name="Comma 2 58" xfId="777"/>
    <cellStyle name="Comma 2 59" xfId="779"/>
    <cellStyle name="Comma 2 6" xfId="780"/>
    <cellStyle name="Comma 2 60" xfId="770"/>
    <cellStyle name="Comma 2 61" xfId="772"/>
    <cellStyle name="Comma 2 62" xfId="774"/>
    <cellStyle name="Comma 2 63" xfId="776"/>
    <cellStyle name="Comma 2 64" xfId="778"/>
    <cellStyle name="Comma 2 65" xfId="782"/>
    <cellStyle name="Comma 2 66" xfId="784"/>
    <cellStyle name="Comma 2 67" xfId="786"/>
    <cellStyle name="Comma 2 68" xfId="788"/>
    <cellStyle name="Comma 2 69" xfId="790"/>
    <cellStyle name="Comma 2 7" xfId="791"/>
    <cellStyle name="Comma 2 70" xfId="781"/>
    <cellStyle name="Comma 2 71" xfId="783"/>
    <cellStyle name="Comma 2 72" xfId="785"/>
    <cellStyle name="Comma 2 73" xfId="787"/>
    <cellStyle name="Comma 2 74" xfId="789"/>
    <cellStyle name="Comma 2 75" xfId="793"/>
    <cellStyle name="Comma 2 76" xfId="795"/>
    <cellStyle name="Comma 2 77" xfId="797"/>
    <cellStyle name="Comma 2 78" xfId="799"/>
    <cellStyle name="Comma 2 79" xfId="801"/>
    <cellStyle name="Comma 2 8" xfId="802"/>
    <cellStyle name="Comma 2 80" xfId="792"/>
    <cellStyle name="Comma 2 81" xfId="794"/>
    <cellStyle name="Comma 2 82" xfId="796"/>
    <cellStyle name="Comma 2 83" xfId="798"/>
    <cellStyle name="Comma 2 84" xfId="800"/>
    <cellStyle name="Comma 2 85" xfId="804"/>
    <cellStyle name="Comma 2 86" xfId="806"/>
    <cellStyle name="Comma 2 87" xfId="808"/>
    <cellStyle name="Comma 2 87 2" xfId="1701"/>
    <cellStyle name="Comma 2 88" xfId="809"/>
    <cellStyle name="Comma 2 89" xfId="810"/>
    <cellStyle name="Comma 2 9" xfId="811"/>
    <cellStyle name="Comma 2 90" xfId="803"/>
    <cellStyle name="Comma 2 91" xfId="805"/>
    <cellStyle name="Comma 2 92" xfId="807"/>
    <cellStyle name="Comma 20" xfId="692"/>
    <cellStyle name="Comma 21" xfId="694"/>
    <cellStyle name="Comma 22" xfId="696"/>
    <cellStyle name="Comma 23" xfId="698"/>
    <cellStyle name="Comma 24" xfId="700"/>
    <cellStyle name="Comma 25" xfId="812"/>
    <cellStyle name="Comma 25 2" xfId="1809"/>
    <cellStyle name="Comma 26" xfId="813"/>
    <cellStyle name="Comma 26 2" xfId="1810"/>
    <cellStyle name="Comma 3" xfId="816"/>
    <cellStyle name="Comma 3 10" xfId="817"/>
    <cellStyle name="Comma 3 11" xfId="818"/>
    <cellStyle name="Comma 3 12" xfId="819"/>
    <cellStyle name="Comma 3 13" xfId="820"/>
    <cellStyle name="Comma 3 14" xfId="821"/>
    <cellStyle name="Comma 3 15" xfId="823"/>
    <cellStyle name="Comma 3 16" xfId="825"/>
    <cellStyle name="Comma 3 17" xfId="827"/>
    <cellStyle name="Comma 3 18" xfId="829"/>
    <cellStyle name="Comma 3 19" xfId="831"/>
    <cellStyle name="Comma 3 2" xfId="832"/>
    <cellStyle name="Comma 3 20" xfId="822"/>
    <cellStyle name="Comma 3 21" xfId="824"/>
    <cellStyle name="Comma 3 22" xfId="826"/>
    <cellStyle name="Comma 3 23" xfId="828"/>
    <cellStyle name="Comma 3 24" xfId="830"/>
    <cellStyle name="Comma 3 25" xfId="834"/>
    <cellStyle name="Comma 3 26" xfId="836"/>
    <cellStyle name="Comma 3 27" xfId="838"/>
    <cellStyle name="Comma 3 28" xfId="840"/>
    <cellStyle name="Comma 3 29" xfId="842"/>
    <cellStyle name="Comma 3 3" xfId="843"/>
    <cellStyle name="Comma 3 30" xfId="833"/>
    <cellStyle name="Comma 3 31" xfId="835"/>
    <cellStyle name="Comma 3 32" xfId="837"/>
    <cellStyle name="Comma 3 33" xfId="839"/>
    <cellStyle name="Comma 3 34" xfId="841"/>
    <cellStyle name="Comma 3 35" xfId="845"/>
    <cellStyle name="Comma 3 36" xfId="847"/>
    <cellStyle name="Comma 3 37" xfId="849"/>
    <cellStyle name="Comma 3 38" xfId="851"/>
    <cellStyle name="Comma 3 39" xfId="853"/>
    <cellStyle name="Comma 3 4" xfId="854"/>
    <cellStyle name="Comma 3 40" xfId="844"/>
    <cellStyle name="Comma 3 41" xfId="846"/>
    <cellStyle name="Comma 3 42" xfId="848"/>
    <cellStyle name="Comma 3 43" xfId="850"/>
    <cellStyle name="Comma 3 44" xfId="852"/>
    <cellStyle name="Comma 3 45" xfId="856"/>
    <cellStyle name="Comma 3 46" xfId="858"/>
    <cellStyle name="Comma 3 47" xfId="860"/>
    <cellStyle name="Comma 3 48" xfId="862"/>
    <cellStyle name="Comma 3 49" xfId="864"/>
    <cellStyle name="Comma 3 5" xfId="865"/>
    <cellStyle name="Comma 3 50" xfId="855"/>
    <cellStyle name="Comma 3 51" xfId="857"/>
    <cellStyle name="Comma 3 52" xfId="859"/>
    <cellStyle name="Comma 3 53" xfId="861"/>
    <cellStyle name="Comma 3 54" xfId="863"/>
    <cellStyle name="Comma 3 55" xfId="867"/>
    <cellStyle name="Comma 3 56" xfId="869"/>
    <cellStyle name="Comma 3 57" xfId="871"/>
    <cellStyle name="Comma 3 58" xfId="873"/>
    <cellStyle name="Comma 3 59" xfId="875"/>
    <cellStyle name="Comma 3 6" xfId="876"/>
    <cellStyle name="Comma 3 60" xfId="866"/>
    <cellStyle name="Comma 3 61" xfId="868"/>
    <cellStyle name="Comma 3 62" xfId="870"/>
    <cellStyle name="Comma 3 63" xfId="872"/>
    <cellStyle name="Comma 3 64" xfId="874"/>
    <cellStyle name="Comma 3 65" xfId="878"/>
    <cellStyle name="Comma 3 66" xfId="880"/>
    <cellStyle name="Comma 3 67" xfId="882"/>
    <cellStyle name="Comma 3 68" xfId="884"/>
    <cellStyle name="Comma 3 69" xfId="886"/>
    <cellStyle name="Comma 3 7" xfId="887"/>
    <cellStyle name="Comma 3 70" xfId="877"/>
    <cellStyle name="Comma 3 71" xfId="879"/>
    <cellStyle name="Comma 3 72" xfId="881"/>
    <cellStyle name="Comma 3 73" xfId="883"/>
    <cellStyle name="Comma 3 74" xfId="885"/>
    <cellStyle name="Comma 3 75" xfId="889"/>
    <cellStyle name="Comma 3 76" xfId="891"/>
    <cellStyle name="Comma 3 77" xfId="893"/>
    <cellStyle name="Comma 3 78" xfId="895"/>
    <cellStyle name="Comma 3 79" xfId="897"/>
    <cellStyle name="Comma 3 8" xfId="898"/>
    <cellStyle name="Comma 3 80" xfId="888"/>
    <cellStyle name="Comma 3 81" xfId="890"/>
    <cellStyle name="Comma 3 82" xfId="892"/>
    <cellStyle name="Comma 3 83" xfId="894"/>
    <cellStyle name="Comma 3 84" xfId="896"/>
    <cellStyle name="Comma 3 85" xfId="899"/>
    <cellStyle name="Comma 3 86" xfId="900"/>
    <cellStyle name="Comma 3 87" xfId="901"/>
    <cellStyle name="Comma 3 9" xfId="902"/>
    <cellStyle name="Comma 4" xfId="905"/>
    <cellStyle name="Comma 4 10" xfId="906"/>
    <cellStyle name="Comma 4 10 2" xfId="1811"/>
    <cellStyle name="Comma 4 11" xfId="907"/>
    <cellStyle name="Comma 4 11 2" xfId="1812"/>
    <cellStyle name="Comma 4 12" xfId="908"/>
    <cellStyle name="Comma 4 12 2" xfId="1813"/>
    <cellStyle name="Comma 4 13" xfId="909"/>
    <cellStyle name="Comma 4 13 2" xfId="1814"/>
    <cellStyle name="Comma 4 14" xfId="910"/>
    <cellStyle name="Comma 4 14 2" xfId="1815"/>
    <cellStyle name="Comma 4 15" xfId="912"/>
    <cellStyle name="Comma 4 15 2" xfId="1816"/>
    <cellStyle name="Comma 4 16" xfId="914"/>
    <cellStyle name="Comma 4 16 2" xfId="1817"/>
    <cellStyle name="Comma 4 17" xfId="916"/>
    <cellStyle name="Comma 4 17 2" xfId="1818"/>
    <cellStyle name="Comma 4 18" xfId="918"/>
    <cellStyle name="Comma 4 18 2" xfId="1819"/>
    <cellStyle name="Comma 4 19" xfId="920"/>
    <cellStyle name="Comma 4 19 2" xfId="1820"/>
    <cellStyle name="Comma 4 2" xfId="921"/>
    <cellStyle name="Comma 4 2 2" xfId="1821"/>
    <cellStyle name="Comma 4 20" xfId="911"/>
    <cellStyle name="Comma 4 20 2" xfId="1822"/>
    <cellStyle name="Comma 4 21" xfId="913"/>
    <cellStyle name="Comma 4 21 2" xfId="1823"/>
    <cellStyle name="Comma 4 22" xfId="915"/>
    <cellStyle name="Comma 4 22 2" xfId="1824"/>
    <cellStyle name="Comma 4 23" xfId="917"/>
    <cellStyle name="Comma 4 23 2" xfId="1825"/>
    <cellStyle name="Comma 4 24" xfId="919"/>
    <cellStyle name="Comma 4 24 2" xfId="1826"/>
    <cellStyle name="Comma 4 25" xfId="923"/>
    <cellStyle name="Comma 4 25 2" xfId="1827"/>
    <cellStyle name="Comma 4 26" xfId="925"/>
    <cellStyle name="Comma 4 26 2" xfId="1828"/>
    <cellStyle name="Comma 4 27" xfId="927"/>
    <cellStyle name="Comma 4 27 2" xfId="1829"/>
    <cellStyle name="Comma 4 28" xfId="929"/>
    <cellStyle name="Comma 4 28 2" xfId="1830"/>
    <cellStyle name="Comma 4 29" xfId="931"/>
    <cellStyle name="Comma 4 29 2" xfId="1831"/>
    <cellStyle name="Comma 4 3" xfId="932"/>
    <cellStyle name="Comma 4 3 2" xfId="1832"/>
    <cellStyle name="Comma 4 30" xfId="922"/>
    <cellStyle name="Comma 4 30 2" xfId="1833"/>
    <cellStyle name="Comma 4 31" xfId="924"/>
    <cellStyle name="Comma 4 31 2" xfId="1834"/>
    <cellStyle name="Comma 4 32" xfId="926"/>
    <cellStyle name="Comma 4 32 2" xfId="1835"/>
    <cellStyle name="Comma 4 33" xfId="928"/>
    <cellStyle name="Comma 4 33 2" xfId="1836"/>
    <cellStyle name="Comma 4 34" xfId="930"/>
    <cellStyle name="Comma 4 34 2" xfId="1837"/>
    <cellStyle name="Comma 4 35" xfId="934"/>
    <cellStyle name="Comma 4 35 2" xfId="1838"/>
    <cellStyle name="Comma 4 36" xfId="936"/>
    <cellStyle name="Comma 4 36 2" xfId="1839"/>
    <cellStyle name="Comma 4 37" xfId="689"/>
    <cellStyle name="Comma 4 37 2" xfId="1840"/>
    <cellStyle name="Comma 4 38" xfId="938"/>
    <cellStyle name="Comma 4 38 2" xfId="1841"/>
    <cellStyle name="Comma 4 39" xfId="940"/>
    <cellStyle name="Comma 4 39 2" xfId="1842"/>
    <cellStyle name="Comma 4 4" xfId="941"/>
    <cellStyle name="Comma 4 4 2" xfId="1843"/>
    <cellStyle name="Comma 4 40" xfId="933"/>
    <cellStyle name="Comma 4 40 2" xfId="1844"/>
    <cellStyle name="Comma 4 41" xfId="935"/>
    <cellStyle name="Comma 4 41 2" xfId="1845"/>
    <cellStyle name="Comma 4 42" xfId="688"/>
    <cellStyle name="Comma 4 42 2" xfId="1846"/>
    <cellStyle name="Comma 4 43" xfId="937"/>
    <cellStyle name="Comma 4 43 2" xfId="1847"/>
    <cellStyle name="Comma 4 44" xfId="939"/>
    <cellStyle name="Comma 4 44 2" xfId="1848"/>
    <cellStyle name="Comma 4 45" xfId="943"/>
    <cellStyle name="Comma 4 45 2" xfId="1849"/>
    <cellStyle name="Comma 4 46" xfId="945"/>
    <cellStyle name="Comma 4 46 2" xfId="1850"/>
    <cellStyle name="Comma 4 47" xfId="947"/>
    <cellStyle name="Comma 4 47 2" xfId="1851"/>
    <cellStyle name="Comma 4 48" xfId="949"/>
    <cellStyle name="Comma 4 48 2" xfId="1852"/>
    <cellStyle name="Comma 4 49" xfId="951"/>
    <cellStyle name="Comma 4 49 2" xfId="1853"/>
    <cellStyle name="Comma 4 5" xfId="952"/>
    <cellStyle name="Comma 4 5 2" xfId="1854"/>
    <cellStyle name="Comma 4 50" xfId="942"/>
    <cellStyle name="Comma 4 50 2" xfId="1855"/>
    <cellStyle name="Comma 4 51" xfId="944"/>
    <cellStyle name="Comma 4 51 2" xfId="1856"/>
    <cellStyle name="Comma 4 52" xfId="946"/>
    <cellStyle name="Comma 4 52 2" xfId="1857"/>
    <cellStyle name="Comma 4 53" xfId="948"/>
    <cellStyle name="Comma 4 53 2" xfId="1858"/>
    <cellStyle name="Comma 4 54" xfId="950"/>
    <cellStyle name="Comma 4 54 2" xfId="1859"/>
    <cellStyle name="Comma 4 55" xfId="954"/>
    <cellStyle name="Comma 4 55 2" xfId="1860"/>
    <cellStyle name="Comma 4 56" xfId="956"/>
    <cellStyle name="Comma 4 56 2" xfId="1861"/>
    <cellStyle name="Comma 4 57" xfId="958"/>
    <cellStyle name="Comma 4 57 2" xfId="1862"/>
    <cellStyle name="Comma 4 58" xfId="960"/>
    <cellStyle name="Comma 4 58 2" xfId="1863"/>
    <cellStyle name="Comma 4 59" xfId="962"/>
    <cellStyle name="Comma 4 59 2" xfId="1864"/>
    <cellStyle name="Comma 4 6" xfId="963"/>
    <cellStyle name="Comma 4 6 2" xfId="1865"/>
    <cellStyle name="Comma 4 60" xfId="953"/>
    <cellStyle name="Comma 4 60 2" xfId="1866"/>
    <cellStyle name="Comma 4 61" xfId="955"/>
    <cellStyle name="Comma 4 61 2" xfId="1867"/>
    <cellStyle name="Comma 4 62" xfId="957"/>
    <cellStyle name="Comma 4 62 2" xfId="1868"/>
    <cellStyle name="Comma 4 63" xfId="959"/>
    <cellStyle name="Comma 4 63 2" xfId="1869"/>
    <cellStyle name="Comma 4 64" xfId="961"/>
    <cellStyle name="Comma 4 64 2" xfId="1870"/>
    <cellStyle name="Comma 4 65" xfId="965"/>
    <cellStyle name="Comma 4 65 2" xfId="1871"/>
    <cellStyle name="Comma 4 66" xfId="967"/>
    <cellStyle name="Comma 4 66 2" xfId="1872"/>
    <cellStyle name="Comma 4 67" xfId="969"/>
    <cellStyle name="Comma 4 67 2" xfId="1873"/>
    <cellStyle name="Comma 4 68" xfId="971"/>
    <cellStyle name="Comma 4 68 2" xfId="1874"/>
    <cellStyle name="Comma 4 69" xfId="973"/>
    <cellStyle name="Comma 4 69 2" xfId="1875"/>
    <cellStyle name="Comma 4 7" xfId="974"/>
    <cellStyle name="Comma 4 7 2" xfId="1876"/>
    <cellStyle name="Comma 4 70" xfId="964"/>
    <cellStyle name="Comma 4 70 2" xfId="1877"/>
    <cellStyle name="Comma 4 71" xfId="966"/>
    <cellStyle name="Comma 4 71 2" xfId="1878"/>
    <cellStyle name="Comma 4 72" xfId="968"/>
    <cellStyle name="Comma 4 72 2" xfId="1879"/>
    <cellStyle name="Comma 4 73" xfId="970"/>
    <cellStyle name="Comma 4 73 2" xfId="1880"/>
    <cellStyle name="Comma 4 74" xfId="972"/>
    <cellStyle name="Comma 4 74 2" xfId="1881"/>
    <cellStyle name="Comma 4 75" xfId="976"/>
    <cellStyle name="Comma 4 75 2" xfId="1882"/>
    <cellStyle name="Comma 4 76" xfId="978"/>
    <cellStyle name="Comma 4 76 2" xfId="1883"/>
    <cellStyle name="Comma 4 77" xfId="980"/>
    <cellStyle name="Comma 4 77 2" xfId="1884"/>
    <cellStyle name="Comma 4 78" xfId="982"/>
    <cellStyle name="Comma 4 78 2" xfId="1885"/>
    <cellStyle name="Comma 4 79" xfId="984"/>
    <cellStyle name="Comma 4 79 2" xfId="1886"/>
    <cellStyle name="Comma 4 8" xfId="985"/>
    <cellStyle name="Comma 4 8 2" xfId="1887"/>
    <cellStyle name="Comma 4 80" xfId="975"/>
    <cellStyle name="Comma 4 80 2" xfId="1888"/>
    <cellStyle name="Comma 4 81" xfId="977"/>
    <cellStyle name="Comma 4 81 2" xfId="1889"/>
    <cellStyle name="Comma 4 82" xfId="979"/>
    <cellStyle name="Comma 4 83" xfId="981"/>
    <cellStyle name="Comma 4 84" xfId="983"/>
    <cellStyle name="Comma 4 85" xfId="986"/>
    <cellStyle name="Comma 4 85 2" xfId="1890"/>
    <cellStyle name="Comma 4 86" xfId="987"/>
    <cellStyle name="Comma 4 86 2" xfId="1891"/>
    <cellStyle name="Comma 4 9" xfId="988"/>
    <cellStyle name="Comma 4 9 2" xfId="1892"/>
    <cellStyle name="Comma 5" xfId="991"/>
    <cellStyle name="Comma 5 2" xfId="992"/>
    <cellStyle name="Comma 5 2 2" xfId="23"/>
    <cellStyle name="Comma 5 2 3" xfId="20"/>
    <cellStyle name="Comma 5 2 4" xfId="70"/>
    <cellStyle name="Comma 5 3" xfId="993"/>
    <cellStyle name="Comma 5 4" xfId="994"/>
    <cellStyle name="Comma 5 5" xfId="995"/>
    <cellStyle name="Comma 6" xfId="998"/>
    <cellStyle name="Comma 6 2" xfId="999"/>
    <cellStyle name="Comma 6 3" xfId="1000"/>
    <cellStyle name="Comma 6 4" xfId="1001"/>
    <cellStyle name="Comma 7" xfId="1004"/>
    <cellStyle name="Comma 7 2" xfId="376"/>
    <cellStyle name="Comma 7 3" xfId="379"/>
    <cellStyle name="Comma 7 4" xfId="382"/>
    <cellStyle name="Comma 8" xfId="1007"/>
    <cellStyle name="Comma 8 2" xfId="443"/>
    <cellStyle name="Comma 9" xfId="76"/>
    <cellStyle name="Comma 9 2" xfId="79"/>
    <cellStyle name="Comma 9 2 2" xfId="1008"/>
    <cellStyle name="Comma 9 2 3" xfId="1009"/>
    <cellStyle name="Comma 9 2 4" xfId="1010"/>
    <cellStyle name="Comma 9 3" xfId="1011"/>
    <cellStyle name="Comma 9 4" xfId="1012"/>
    <cellStyle name="Comma 9 5" xfId="1013"/>
    <cellStyle name="Comma 9 6" xfId="1014"/>
    <cellStyle name="Currency [0] 2" xfId="1015"/>
    <cellStyle name="Currency [0] 2 2" xfId="1016"/>
    <cellStyle name="Currency [0] 3" xfId="1017"/>
    <cellStyle name="Currency [0] 4" xfId="1018"/>
    <cellStyle name="Currency [0] 4 2" xfId="1019"/>
    <cellStyle name="Currency [0] 5" xfId="1020"/>
    <cellStyle name="Currency [0] 6" xfId="1021"/>
    <cellStyle name="Currency 2" xfId="1022"/>
    <cellStyle name="Currency 3" xfId="1023"/>
    <cellStyle name="Normal" xfId="0" builtinId="0"/>
    <cellStyle name="Normal 10" xfId="1026"/>
    <cellStyle name="Normal 10 2" xfId="1027"/>
    <cellStyle name="Normal 10 2 2" xfId="736"/>
    <cellStyle name="Normal 10 2 2 2" xfId="1893"/>
    <cellStyle name="Normal 10 2 3" xfId="739"/>
    <cellStyle name="Normal 10 2 3 2" xfId="1894"/>
    <cellStyle name="Normal 10 2 4" xfId="742"/>
    <cellStyle name="Normal 10 2 4 2" xfId="1895"/>
    <cellStyle name="Normal 10 2 5" xfId="1896"/>
    <cellStyle name="Normal 10 2_Sheet1" xfId="1028"/>
    <cellStyle name="Normal 11" xfId="1031"/>
    <cellStyle name="Normal 11 2" xfId="1032"/>
    <cellStyle name="Normal 11 2 2" xfId="1033"/>
    <cellStyle name="Normal 11 2 2 2" xfId="1897"/>
    <cellStyle name="Normal 11 2 3" xfId="1034"/>
    <cellStyle name="Normal 11 2 3 2" xfId="1898"/>
    <cellStyle name="Normal 11 2 4" xfId="1035"/>
    <cellStyle name="Normal 11 2 4 2" xfId="1899"/>
    <cellStyle name="Normal 11 2 5" xfId="1900"/>
    <cellStyle name="Normal 11 2_Sheet1" xfId="1036"/>
    <cellStyle name="Normal 12" xfId="1039"/>
    <cellStyle name="Normal 12 2" xfId="1040"/>
    <cellStyle name="Normal 12 3" xfId="33"/>
    <cellStyle name="Normal 12 4" xfId="1041"/>
    <cellStyle name="Normal 12_Sheet1" xfId="1042"/>
    <cellStyle name="Normal 13" xfId="1045"/>
    <cellStyle name="Normal 13 2" xfId="1046"/>
    <cellStyle name="Normal 13 3" xfId="293"/>
    <cellStyle name="Normal 13 4" xfId="295"/>
    <cellStyle name="Normal 13_Sheet1" xfId="1047"/>
    <cellStyle name="Normal 14" xfId="1050"/>
    <cellStyle name="Normal 14 2" xfId="335"/>
    <cellStyle name="Normal 14 3" xfId="338"/>
    <cellStyle name="Normal 14 4" xfId="341"/>
    <cellStyle name="Normal 14_Sheet1" xfId="1053"/>
    <cellStyle name="Normal 15" xfId="1056"/>
    <cellStyle name="Normal 15 2" xfId="1918"/>
    <cellStyle name="Normal 16" xfId="1059"/>
    <cellStyle name="Normal 16 2" xfId="1060"/>
    <cellStyle name="Normal 17" xfId="1063"/>
    <cellStyle name="Normal 17 2" xfId="1705"/>
    <cellStyle name="Normal 19" xfId="1066"/>
    <cellStyle name="Normal 2" xfId="1068"/>
    <cellStyle name="Normal 2 10" xfId="1069"/>
    <cellStyle name="Normal 2 10 2" xfId="1704"/>
    <cellStyle name="Normal 2 100" xfId="1901"/>
    <cellStyle name="Normal 2 11" xfId="1070"/>
    <cellStyle name="Normal 2 12" xfId="1071"/>
    <cellStyle name="Normal 2 13" xfId="1072"/>
    <cellStyle name="Normal 2 14" xfId="1073"/>
    <cellStyle name="Normal 2 15" xfId="1075"/>
    <cellStyle name="Normal 2 16" xfId="1077"/>
    <cellStyle name="Normal 2 17" xfId="1079"/>
    <cellStyle name="Normal 2 18" xfId="1081"/>
    <cellStyle name="Normal 2 19" xfId="1083"/>
    <cellStyle name="Normal 2 2" xfId="1084"/>
    <cellStyle name="Normal 2 2 10" xfId="1085"/>
    <cellStyle name="Normal 2 2 11" xfId="1086"/>
    <cellStyle name="Normal 2 2 12" xfId="38"/>
    <cellStyle name="Normal 2 2 13" xfId="1087"/>
    <cellStyle name="Normal 2 2 14" xfId="1088"/>
    <cellStyle name="Normal 2 2 15" xfId="1090"/>
    <cellStyle name="Normal 2 2 16" xfId="1092"/>
    <cellStyle name="Normal 2 2 17" xfId="1094"/>
    <cellStyle name="Normal 2 2 18" xfId="1096"/>
    <cellStyle name="Normal 2 2 19" xfId="1098"/>
    <cellStyle name="Normal 2 2 2" xfId="1099"/>
    <cellStyle name="Normal 2 2 2 2" xfId="1100"/>
    <cellStyle name="Normal 2 2 2 2 2" xfId="1101"/>
    <cellStyle name="Normal 2 2 2 3" xfId="1102"/>
    <cellStyle name="Normal 2 2 2 3 2" xfId="1708"/>
    <cellStyle name="Normal 2 2 2 4" xfId="1902"/>
    <cellStyle name="Normal 2 2 20" xfId="1089"/>
    <cellStyle name="Normal 2 2 21" xfId="1091"/>
    <cellStyle name="Normal 2 2 22" xfId="1093"/>
    <cellStyle name="Normal 2 2 23" xfId="1095"/>
    <cellStyle name="Normal 2 2 24" xfId="1097"/>
    <cellStyle name="Normal 2 2 25" xfId="1104"/>
    <cellStyle name="Normal 2 2 26" xfId="1106"/>
    <cellStyle name="Normal 2 2 27" xfId="1108"/>
    <cellStyle name="Normal 2 2 28" xfId="703"/>
    <cellStyle name="Normal 2 2 29" xfId="815"/>
    <cellStyle name="Normal 2 2 3" xfId="1109"/>
    <cellStyle name="Normal 2 2 30" xfId="1103"/>
    <cellStyle name="Normal 2 2 31" xfId="1105"/>
    <cellStyle name="Normal 2 2 32" xfId="1107"/>
    <cellStyle name="Normal 2 2 33" xfId="702"/>
    <cellStyle name="Normal 2 2 34" xfId="814"/>
    <cellStyle name="Normal 2 2 35" xfId="904"/>
    <cellStyle name="Normal 2 2 36" xfId="990"/>
    <cellStyle name="Normal 2 2 37" xfId="997"/>
    <cellStyle name="Normal 2 2 38" xfId="1003"/>
    <cellStyle name="Normal 2 2 39" xfId="1006"/>
    <cellStyle name="Normal 2 2 4" xfId="1110"/>
    <cellStyle name="Normal 2 2 40" xfId="903"/>
    <cellStyle name="Normal 2 2 41" xfId="989"/>
    <cellStyle name="Normal 2 2 42" xfId="996"/>
    <cellStyle name="Normal 2 2 43" xfId="1002"/>
    <cellStyle name="Normal 2 2 44" xfId="1005"/>
    <cellStyle name="Normal 2 2 45" xfId="75"/>
    <cellStyle name="Normal 2 2 46" xfId="45"/>
    <cellStyle name="Normal 2 2 47" xfId="54"/>
    <cellStyle name="Normal 2 2 48" xfId="64"/>
    <cellStyle name="Normal 2 2 49" xfId="1112"/>
    <cellStyle name="Normal 2 2 5" xfId="1113"/>
    <cellStyle name="Normal 2 2 50" xfId="74"/>
    <cellStyle name="Normal 2 2 51" xfId="44"/>
    <cellStyle name="Normal 2 2 52" xfId="53"/>
    <cellStyle name="Normal 2 2 53" xfId="63"/>
    <cellStyle name="Normal 2 2 54" xfId="1111"/>
    <cellStyle name="Normal 2 2 55" xfId="1115"/>
    <cellStyle name="Normal 2 2 56" xfId="1117"/>
    <cellStyle name="Normal 2 2 57" xfId="1119"/>
    <cellStyle name="Normal 2 2 58" xfId="1121"/>
    <cellStyle name="Normal 2 2 59" xfId="1123"/>
    <cellStyle name="Normal 2 2 6" xfId="83"/>
    <cellStyle name="Normal 2 2 60" xfId="1114"/>
    <cellStyle name="Normal 2 2 61" xfId="1116"/>
    <cellStyle name="Normal 2 2 62" xfId="1118"/>
    <cellStyle name="Normal 2 2 63" xfId="1120"/>
    <cellStyle name="Normal 2 2 64" xfId="1122"/>
    <cellStyle name="Normal 2 2 65" xfId="1125"/>
    <cellStyle name="Normal 2 2 66" xfId="1127"/>
    <cellStyle name="Normal 2 2 67" xfId="1129"/>
    <cellStyle name="Normal 2 2 68" xfId="32"/>
    <cellStyle name="Normal 2 2 69" xfId="57"/>
    <cellStyle name="Normal 2 2 7" xfId="141"/>
    <cellStyle name="Normal 2 2 70" xfId="1124"/>
    <cellStyle name="Normal 2 2 71" xfId="1126"/>
    <cellStyle name="Normal 2 2 72" xfId="1128"/>
    <cellStyle name="Normal 2 2 73" xfId="31"/>
    <cellStyle name="Normal 2 2 74" xfId="56"/>
    <cellStyle name="Normal 2 2 75" xfId="67"/>
    <cellStyle name="Normal 2 2 76" xfId="69"/>
    <cellStyle name="Normal 2 2 77" xfId="48"/>
    <cellStyle name="Normal 2 2 78" xfId="59"/>
    <cellStyle name="Normal 2 2 79" xfId="1131"/>
    <cellStyle name="Normal 2 2 8" xfId="399"/>
    <cellStyle name="Normal 2 2 80" xfId="66"/>
    <cellStyle name="Normal 2 2 81" xfId="68"/>
    <cellStyle name="Normal 2 2 82" xfId="47"/>
    <cellStyle name="Normal 2 2 83" xfId="58"/>
    <cellStyle name="Normal 2 2 84" xfId="1130"/>
    <cellStyle name="Normal 2 2 85" xfId="1132"/>
    <cellStyle name="Normal 2 2 86" xfId="1133"/>
    <cellStyle name="Normal 2 2 86 2" xfId="1916"/>
    <cellStyle name="Normal 2 2 87" xfId="1134"/>
    <cellStyle name="Normal 2 2 9" xfId="403"/>
    <cellStyle name="Normal 2 20" xfId="1074"/>
    <cellStyle name="Normal 2 21" xfId="1076"/>
    <cellStyle name="Normal 2 22" xfId="1078"/>
    <cellStyle name="Normal 2 23" xfId="1080"/>
    <cellStyle name="Normal 2 24" xfId="1082"/>
    <cellStyle name="Normal 2 25" xfId="1136"/>
    <cellStyle name="Normal 2 26" xfId="1052"/>
    <cellStyle name="Normal 2 27" xfId="1138"/>
    <cellStyle name="Normal 2 28" xfId="1140"/>
    <cellStyle name="Normal 2 29" xfId="1142"/>
    <cellStyle name="Normal 2 3" xfId="1143"/>
    <cellStyle name="Normal 2 3 10" xfId="1144"/>
    <cellStyle name="Normal 2 3 11" xfId="1145"/>
    <cellStyle name="Normal 2 3 12" xfId="1146"/>
    <cellStyle name="Normal 2 3 13" xfId="1147"/>
    <cellStyle name="Normal 2 3 14" xfId="1148"/>
    <cellStyle name="Normal 2 3 15" xfId="1150"/>
    <cellStyle name="Normal 2 3 16" xfId="1152"/>
    <cellStyle name="Normal 2 3 17" xfId="1155"/>
    <cellStyle name="Normal 2 3 18" xfId="1157"/>
    <cellStyle name="Normal 2 3 19" xfId="1159"/>
    <cellStyle name="Normal 2 3 2" xfId="1160"/>
    <cellStyle name="Normal 2 3 20" xfId="1149"/>
    <cellStyle name="Normal 2 3 21" xfId="1151"/>
    <cellStyle name="Normal 2 3 22" xfId="1154"/>
    <cellStyle name="Normal 2 3 23" xfId="1156"/>
    <cellStyle name="Normal 2 3 24" xfId="1158"/>
    <cellStyle name="Normal 2 3 25" xfId="1162"/>
    <cellStyle name="Normal 2 3 26" xfId="1164"/>
    <cellStyle name="Normal 2 3 27" xfId="1166"/>
    <cellStyle name="Normal 2 3 28" xfId="1168"/>
    <cellStyle name="Normal 2 3 29" xfId="1170"/>
    <cellStyle name="Normal 2 3 3" xfId="1171"/>
    <cellStyle name="Normal 2 3 30" xfId="1161"/>
    <cellStyle name="Normal 2 3 31" xfId="1163"/>
    <cellStyle name="Normal 2 3 32" xfId="1165"/>
    <cellStyle name="Normal 2 3 33" xfId="1167"/>
    <cellStyle name="Normal 2 3 34" xfId="1169"/>
    <cellStyle name="Normal 2 3 35" xfId="1025"/>
    <cellStyle name="Normal 2 3 36" xfId="1030"/>
    <cellStyle name="Normal 2 3 37" xfId="1038"/>
    <cellStyle name="Normal 2 3 38" xfId="1044"/>
    <cellStyle name="Normal 2 3 39" xfId="1049"/>
    <cellStyle name="Normal 2 3 4" xfId="1172"/>
    <cellStyle name="Normal 2 3 40" xfId="1024"/>
    <cellStyle name="Normal 2 3 41" xfId="1029"/>
    <cellStyle name="Normal 2 3 42" xfId="1037"/>
    <cellStyle name="Normal 2 3 43" xfId="1043"/>
    <cellStyle name="Normal 2 3 44" xfId="1048"/>
    <cellStyle name="Normal 2 3 45" xfId="1055"/>
    <cellStyle name="Normal 2 3 46" xfId="1058"/>
    <cellStyle name="Normal 2 3 47" xfId="1062"/>
    <cellStyle name="Normal 2 3 48" xfId="1174"/>
    <cellStyle name="Normal 2 3 49" xfId="1065"/>
    <cellStyle name="Normal 2 3 5" xfId="1067"/>
    <cellStyle name="Normal 2 3 50" xfId="1054"/>
    <cellStyle name="Normal 2 3 51" xfId="1057"/>
    <cellStyle name="Normal 2 3 52" xfId="1061"/>
    <cellStyle name="Normal 2 3 53" xfId="1173"/>
    <cellStyle name="Normal 2 3 54" xfId="1064"/>
    <cellStyle name="Normal 2 3 55" xfId="1176"/>
    <cellStyle name="Normal 2 3 56" xfId="1178"/>
    <cellStyle name="Normal 2 3 57" xfId="1180"/>
    <cellStyle name="Normal 2 3 58" xfId="1182"/>
    <cellStyle name="Normal 2 3 59" xfId="1184"/>
    <cellStyle name="Normal 2 3 6" xfId="1186"/>
    <cellStyle name="Normal 2 3 60" xfId="1175"/>
    <cellStyle name="Normal 2 3 61" xfId="1177"/>
    <cellStyle name="Normal 2 3 62" xfId="1179"/>
    <cellStyle name="Normal 2 3 63" xfId="1181"/>
    <cellStyle name="Normal 2 3 64" xfId="1183"/>
    <cellStyle name="Normal 2 3 65" xfId="1188"/>
    <cellStyle name="Normal 2 3 66" xfId="1190"/>
    <cellStyle name="Normal 2 3 67" xfId="1192"/>
    <cellStyle name="Normal 2 3 68" xfId="1194"/>
    <cellStyle name="Normal 2 3 69" xfId="1196"/>
    <cellStyle name="Normal 2 3 7" xfId="1198"/>
    <cellStyle name="Normal 2 3 70" xfId="1187"/>
    <cellStyle name="Normal 2 3 71" xfId="1189"/>
    <cellStyle name="Normal 2 3 72" xfId="1191"/>
    <cellStyle name="Normal 2 3 73" xfId="1193"/>
    <cellStyle name="Normal 2 3 74" xfId="1195"/>
    <cellStyle name="Normal 2 3 75" xfId="1200"/>
    <cellStyle name="Normal 2 3 76" xfId="1202"/>
    <cellStyle name="Normal 2 3 77" xfId="1204"/>
    <cellStyle name="Normal 2 3 78" xfId="1206"/>
    <cellStyle name="Normal 2 3 79" xfId="1207"/>
    <cellStyle name="Normal 2 3 8" xfId="1209"/>
    <cellStyle name="Normal 2 3 80" xfId="1199"/>
    <cellStyle name="Normal 2 3 81" xfId="1201"/>
    <cellStyle name="Normal 2 3 82" xfId="1203"/>
    <cellStyle name="Normal 2 3 83" xfId="1205"/>
    <cellStyle name="Normal 2 3 84" xfId="1903"/>
    <cellStyle name="Normal 2 3 9" xfId="1211"/>
    <cellStyle name="Normal 2 30" xfId="1135"/>
    <cellStyle name="Normal 2 31" xfId="1051"/>
    <cellStyle name="Normal 2 32" xfId="1137"/>
    <cellStyle name="Normal 2 33" xfId="1139"/>
    <cellStyle name="Normal 2 34" xfId="1141"/>
    <cellStyle name="Normal 2 35" xfId="1213"/>
    <cellStyle name="Normal 2 36" xfId="1215"/>
    <cellStyle name="Normal 2 37" xfId="1217"/>
    <cellStyle name="Normal 2 38" xfId="1219"/>
    <cellStyle name="Normal 2 39" xfId="1221"/>
    <cellStyle name="Normal 2 4" xfId="1222"/>
    <cellStyle name="Normal 2 4 10" xfId="1223"/>
    <cellStyle name="Normal 2 4 11" xfId="1224"/>
    <cellStyle name="Normal 2 4 12" xfId="1225"/>
    <cellStyle name="Normal 2 4 13" xfId="1226"/>
    <cellStyle name="Normal 2 4 14" xfId="1227"/>
    <cellStyle name="Normal 2 4 15" xfId="1229"/>
    <cellStyle name="Normal 2 4 16" xfId="1231"/>
    <cellStyle name="Normal 2 4 17" xfId="1233"/>
    <cellStyle name="Normal 2 4 18" xfId="1235"/>
    <cellStyle name="Normal 2 4 19" xfId="1237"/>
    <cellStyle name="Normal 2 4 2" xfId="1238"/>
    <cellStyle name="Normal 2 4 20" xfId="1228"/>
    <cellStyle name="Normal 2 4 21" xfId="1230"/>
    <cellStyle name="Normal 2 4 22" xfId="1232"/>
    <cellStyle name="Normal 2 4 23" xfId="1234"/>
    <cellStyle name="Normal 2 4 24" xfId="1236"/>
    <cellStyle name="Normal 2 4 25" xfId="1240"/>
    <cellStyle name="Normal 2 4 26" xfId="1242"/>
    <cellStyle name="Normal 2 4 27" xfId="1244"/>
    <cellStyle name="Normal 2 4 28" xfId="1246"/>
    <cellStyle name="Normal 2 4 29" xfId="1248"/>
    <cellStyle name="Normal 2 4 3" xfId="1249"/>
    <cellStyle name="Normal 2 4 30" xfId="1239"/>
    <cellStyle name="Normal 2 4 31" xfId="1241"/>
    <cellStyle name="Normal 2 4 32" xfId="1243"/>
    <cellStyle name="Normal 2 4 33" xfId="1245"/>
    <cellStyle name="Normal 2 4 34" xfId="1247"/>
    <cellStyle name="Normal 2 4 35" xfId="1251"/>
    <cellStyle name="Normal 2 4 36" xfId="1253"/>
    <cellStyle name="Normal 2 4 37" xfId="1255"/>
    <cellStyle name="Normal 2 4 38" xfId="1257"/>
    <cellStyle name="Normal 2 4 39" xfId="1259"/>
    <cellStyle name="Normal 2 4 4" xfId="1260"/>
    <cellStyle name="Normal 2 4 40" xfId="1250"/>
    <cellStyle name="Normal 2 4 41" xfId="1252"/>
    <cellStyle name="Normal 2 4 42" xfId="1254"/>
    <cellStyle name="Normal 2 4 43" xfId="1256"/>
    <cellStyle name="Normal 2 4 44" xfId="1258"/>
    <cellStyle name="Normal 2 4 45" xfId="1262"/>
    <cellStyle name="Normal 2 4 46" xfId="1264"/>
    <cellStyle name="Normal 2 4 47" xfId="1266"/>
    <cellStyle name="Normal 2 4 48" xfId="1268"/>
    <cellStyle name="Normal 2 4 49" xfId="1270"/>
    <cellStyle name="Normal 2 4 5" xfId="1271"/>
    <cellStyle name="Normal 2 4 50" xfId="1261"/>
    <cellStyle name="Normal 2 4 51" xfId="1263"/>
    <cellStyle name="Normal 2 4 52" xfId="1265"/>
    <cellStyle name="Normal 2 4 53" xfId="1267"/>
    <cellStyle name="Normal 2 4 54" xfId="1269"/>
    <cellStyle name="Normal 2 4 55" xfId="1273"/>
    <cellStyle name="Normal 2 4 56" xfId="1275"/>
    <cellStyle name="Normal 2 4 57" xfId="1277"/>
    <cellStyle name="Normal 2 4 58" xfId="1279"/>
    <cellStyle name="Normal 2 4 59" xfId="1281"/>
    <cellStyle name="Normal 2 4 6" xfId="1282"/>
    <cellStyle name="Normal 2 4 60" xfId="1272"/>
    <cellStyle name="Normal 2 4 61" xfId="1274"/>
    <cellStyle name="Normal 2 4 62" xfId="1276"/>
    <cellStyle name="Normal 2 4 63" xfId="1278"/>
    <cellStyle name="Normal 2 4 64" xfId="1280"/>
    <cellStyle name="Normal 2 4 65" xfId="1284"/>
    <cellStyle name="Normal 2 4 66" xfId="1286"/>
    <cellStyle name="Normal 2 4 67" xfId="1288"/>
    <cellStyle name="Normal 2 4 68" xfId="1290"/>
    <cellStyle name="Normal 2 4 69" xfId="1292"/>
    <cellStyle name="Normal 2 4 7" xfId="1293"/>
    <cellStyle name="Normal 2 4 70" xfId="1283"/>
    <cellStyle name="Normal 2 4 71" xfId="1285"/>
    <cellStyle name="Normal 2 4 72" xfId="1287"/>
    <cellStyle name="Normal 2 4 73" xfId="1289"/>
    <cellStyle name="Normal 2 4 74" xfId="1291"/>
    <cellStyle name="Normal 2 4 75" xfId="1295"/>
    <cellStyle name="Normal 2 4 76" xfId="1297"/>
    <cellStyle name="Normal 2 4 77" xfId="1299"/>
    <cellStyle name="Normal 2 4 78" xfId="1301"/>
    <cellStyle name="Normal 2 4 79" xfId="1303"/>
    <cellStyle name="Normal 2 4 8" xfId="1304"/>
    <cellStyle name="Normal 2 4 80" xfId="1294"/>
    <cellStyle name="Normal 2 4 81" xfId="1296"/>
    <cellStyle name="Normal 2 4 82" xfId="1298"/>
    <cellStyle name="Normal 2 4 83" xfId="1300"/>
    <cellStyle name="Normal 2 4 84" xfId="1302"/>
    <cellStyle name="Normal 2 4 85" xfId="1904"/>
    <cellStyle name="Normal 2 4 9" xfId="1305"/>
    <cellStyle name="Normal 2 40" xfId="1212"/>
    <cellStyle name="Normal 2 41" xfId="1214"/>
    <cellStyle name="Normal 2 42" xfId="1216"/>
    <cellStyle name="Normal 2 43" xfId="1218"/>
    <cellStyle name="Normal 2 44" xfId="1220"/>
    <cellStyle name="Normal 2 45" xfId="1307"/>
    <cellStyle name="Normal 2 46" xfId="1309"/>
    <cellStyle name="Normal 2 47" xfId="1311"/>
    <cellStyle name="Normal 2 48" xfId="1313"/>
    <cellStyle name="Normal 2 49" xfId="1315"/>
    <cellStyle name="Normal 2 5" xfId="1316"/>
    <cellStyle name="Normal 2 50" xfId="1306"/>
    <cellStyle name="Normal 2 51" xfId="1308"/>
    <cellStyle name="Normal 2 52" xfId="1310"/>
    <cellStyle name="Normal 2 53" xfId="1312"/>
    <cellStyle name="Normal 2 54" xfId="1314"/>
    <cellStyle name="Normal 2 55" xfId="1318"/>
    <cellStyle name="Normal 2 56" xfId="1320"/>
    <cellStyle name="Normal 2 57" xfId="1322"/>
    <cellStyle name="Normal 2 58" xfId="1324"/>
    <cellStyle name="Normal 2 59" xfId="1326"/>
    <cellStyle name="Normal 2 6" xfId="1327"/>
    <cellStyle name="Normal 2 60" xfId="1317"/>
    <cellStyle name="Normal 2 61" xfId="1319"/>
    <cellStyle name="Normal 2 62" xfId="1321"/>
    <cellStyle name="Normal 2 63" xfId="1323"/>
    <cellStyle name="Normal 2 64" xfId="1325"/>
    <cellStyle name="Normal 2 65" xfId="1329"/>
    <cellStyle name="Normal 2 66" xfId="1331"/>
    <cellStyle name="Normal 2 67" xfId="1333"/>
    <cellStyle name="Normal 2 68" xfId="1335"/>
    <cellStyle name="Normal 2 69" xfId="1337"/>
    <cellStyle name="Normal 2 7" xfId="1338"/>
    <cellStyle name="Normal 2 70" xfId="1328"/>
    <cellStyle name="Normal 2 71" xfId="1330"/>
    <cellStyle name="Normal 2 72" xfId="1332"/>
    <cellStyle name="Normal 2 73" xfId="1334"/>
    <cellStyle name="Normal 2 74" xfId="1336"/>
    <cellStyle name="Normal 2 75" xfId="1340"/>
    <cellStyle name="Normal 2 76" xfId="1342"/>
    <cellStyle name="Normal 2 77" xfId="1344"/>
    <cellStyle name="Normal 2 78" xfId="1346"/>
    <cellStyle name="Normal 2 79" xfId="1348"/>
    <cellStyle name="Normal 2 8" xfId="1349"/>
    <cellStyle name="Normal 2 80" xfId="1339"/>
    <cellStyle name="Normal 2 81" xfId="1341"/>
    <cellStyle name="Normal 2 82" xfId="1343"/>
    <cellStyle name="Normal 2 83" xfId="1345"/>
    <cellStyle name="Normal 2 84" xfId="1347"/>
    <cellStyle name="Normal 2 85" xfId="1351"/>
    <cellStyle name="Normal 2 86" xfId="1353"/>
    <cellStyle name="Normal 2 87" xfId="1355"/>
    <cellStyle name="Normal 2 88" xfId="1357"/>
    <cellStyle name="Normal 2 89" xfId="1359"/>
    <cellStyle name="Normal 2 9" xfId="1360"/>
    <cellStyle name="Normal 2 90" xfId="1350"/>
    <cellStyle name="Normal 2 91" xfId="1352"/>
    <cellStyle name="Normal 2 92" xfId="1354"/>
    <cellStyle name="Normal 2 93" xfId="1356"/>
    <cellStyle name="Normal 2 93 2" xfId="1905"/>
    <cellStyle name="Normal 2 94" xfId="1358"/>
    <cellStyle name="Normal 2 94 2" xfId="1700"/>
    <cellStyle name="Normal 2 95" xfId="1361"/>
    <cellStyle name="Normal 2 96" xfId="1362"/>
    <cellStyle name="Normal 2 97" xfId="1363"/>
    <cellStyle name="Normal 2 98" xfId="1364"/>
    <cellStyle name="Normal 2 99" xfId="1365"/>
    <cellStyle name="Normal 3" xfId="1185"/>
    <cellStyle name="Normal 3 10" xfId="1366"/>
    <cellStyle name="Normal 3 11" xfId="1367"/>
    <cellStyle name="Normal 3 12" xfId="1368"/>
    <cellStyle name="Normal 3 13" xfId="1369"/>
    <cellStyle name="Normal 3 14" xfId="1370"/>
    <cellStyle name="Normal 3 15" xfId="1372"/>
    <cellStyle name="Normal 3 16" xfId="1374"/>
    <cellStyle name="Normal 3 17" xfId="1376"/>
    <cellStyle name="Normal 3 18" xfId="1378"/>
    <cellStyle name="Normal 3 19" xfId="1380"/>
    <cellStyle name="Normal 3 2" xfId="1381"/>
    <cellStyle name="Normal 3 2 2" xfId="1382"/>
    <cellStyle name="Normal 3 2 2 2" xfId="1383"/>
    <cellStyle name="Normal 3 2 2 3" xfId="1906"/>
    <cellStyle name="Normal 3 20" xfId="1371"/>
    <cellStyle name="Normal 3 21" xfId="1373"/>
    <cellStyle name="Normal 3 22" xfId="1375"/>
    <cellStyle name="Normal 3 23" xfId="1377"/>
    <cellStyle name="Normal 3 24" xfId="1379"/>
    <cellStyle name="Normal 3 25" xfId="1385"/>
    <cellStyle name="Normal 3 26" xfId="1387"/>
    <cellStyle name="Normal 3 27" xfId="1389"/>
    <cellStyle name="Normal 3 28" xfId="1391"/>
    <cellStyle name="Normal 3 29" xfId="1393"/>
    <cellStyle name="Normal 3 3" xfId="1394"/>
    <cellStyle name="Normal 3 30" xfId="1384"/>
    <cellStyle name="Normal 3 31" xfId="1386"/>
    <cellStyle name="Normal 3 32" xfId="1388"/>
    <cellStyle name="Normal 3 33" xfId="1390"/>
    <cellStyle name="Normal 3 34" xfId="1392"/>
    <cellStyle name="Normal 3 35" xfId="1396"/>
    <cellStyle name="Normal 3 36" xfId="1398"/>
    <cellStyle name="Normal 3 37" xfId="1400"/>
    <cellStyle name="Normal 3 38" xfId="161"/>
    <cellStyle name="Normal 3 39" xfId="164"/>
    <cellStyle name="Normal 3 4" xfId="1401"/>
    <cellStyle name="Normal 3 40" xfId="1395"/>
    <cellStyle name="Normal 3 41" xfId="1397"/>
    <cellStyle name="Normal 3 42" xfId="1399"/>
    <cellStyle name="Normal 3 43" xfId="160"/>
    <cellStyle name="Normal 3 44" xfId="163"/>
    <cellStyle name="Normal 3 45" xfId="167"/>
    <cellStyle name="Normal 3 46" xfId="170"/>
    <cellStyle name="Normal 3 47" xfId="173"/>
    <cellStyle name="Normal 3 48" xfId="176"/>
    <cellStyle name="Normal 3 49" xfId="180"/>
    <cellStyle name="Normal 3 5" xfId="1402"/>
    <cellStyle name="Normal 3 50" xfId="166"/>
    <cellStyle name="Normal 3 51" xfId="169"/>
    <cellStyle name="Normal 3 52" xfId="172"/>
    <cellStyle name="Normal 3 53" xfId="175"/>
    <cellStyle name="Normal 3 54" xfId="179"/>
    <cellStyle name="Normal 3 55" xfId="25"/>
    <cellStyle name="Normal 3 56" xfId="184"/>
    <cellStyle name="Normal 3 57" xfId="188"/>
    <cellStyle name="Normal 3 58" xfId="195"/>
    <cellStyle name="Normal 3 59" xfId="199"/>
    <cellStyle name="Normal 3 6" xfId="1403"/>
    <cellStyle name="Normal 3 60" xfId="24"/>
    <cellStyle name="Normal 3 61" xfId="183"/>
    <cellStyle name="Normal 3 62" xfId="187"/>
    <cellStyle name="Normal 3 63" xfId="194"/>
    <cellStyle name="Normal 3 64" xfId="198"/>
    <cellStyle name="Normal 3 65" xfId="203"/>
    <cellStyle name="Normal 3 66" xfId="207"/>
    <cellStyle name="Normal 3 67" xfId="211"/>
    <cellStyle name="Normal 3 68" xfId="218"/>
    <cellStyle name="Normal 3 69" xfId="222"/>
    <cellStyle name="Normal 3 7" xfId="1404"/>
    <cellStyle name="Normal 3 70" xfId="202"/>
    <cellStyle name="Normal 3 71" xfId="206"/>
    <cellStyle name="Normal 3 72" xfId="210"/>
    <cellStyle name="Normal 3 73" xfId="217"/>
    <cellStyle name="Normal 3 74" xfId="221"/>
    <cellStyle name="Normal 3 75" xfId="226"/>
    <cellStyle name="Normal 3 76" xfId="230"/>
    <cellStyle name="Normal 3 77" xfId="234"/>
    <cellStyle name="Normal 3 78" xfId="241"/>
    <cellStyle name="Normal 3 79" xfId="245"/>
    <cellStyle name="Normal 3 8" xfId="1405"/>
    <cellStyle name="Normal 3 80" xfId="225"/>
    <cellStyle name="Normal 3 81" xfId="229"/>
    <cellStyle name="Normal 3 82" xfId="233"/>
    <cellStyle name="Normal 3 83" xfId="240"/>
    <cellStyle name="Normal 3 84" xfId="244"/>
    <cellStyle name="Normal 3 85" xfId="248"/>
    <cellStyle name="Normal 3 86" xfId="251"/>
    <cellStyle name="Normal 3 87" xfId="254"/>
    <cellStyle name="Normal 3 9" xfId="1406"/>
    <cellStyle name="Normal 4" xfId="1197"/>
    <cellStyle name="Normal 4 2" xfId="1407"/>
    <cellStyle name="Normal 4 2 10" xfId="1408"/>
    <cellStyle name="Normal 4 2 11" xfId="1409"/>
    <cellStyle name="Normal 4 2 12" xfId="1410"/>
    <cellStyle name="Normal 4 2 13" xfId="1411"/>
    <cellStyle name="Normal 4 2 14" xfId="1412"/>
    <cellStyle name="Normal 4 2 15" xfId="1414"/>
    <cellStyle name="Normal 4 2 16" xfId="1416"/>
    <cellStyle name="Normal 4 2 17" xfId="1418"/>
    <cellStyle name="Normal 4 2 18" xfId="1420"/>
    <cellStyle name="Normal 4 2 19" xfId="1422"/>
    <cellStyle name="Normal 4 2 2" xfId="1423"/>
    <cellStyle name="Normal 4 2 2 2" xfId="1424"/>
    <cellStyle name="Normal 4 2 2 3" xfId="1425"/>
    <cellStyle name="Normal 4 2 2 4" xfId="1426"/>
    <cellStyle name="Normal 4 2 2 5" xfId="1427"/>
    <cellStyle name="Normal 4 2 20" xfId="1413"/>
    <cellStyle name="Normal 4 2 21" xfId="1415"/>
    <cellStyle name="Normal 4 2 22" xfId="1417"/>
    <cellStyle name="Normal 4 2 23" xfId="1419"/>
    <cellStyle name="Normal 4 2 24" xfId="1421"/>
    <cellStyle name="Normal 4 2 25" xfId="1429"/>
    <cellStyle name="Normal 4 2 26" xfId="1431"/>
    <cellStyle name="Normal 4 2 27" xfId="1433"/>
    <cellStyle name="Normal 4 2 28" xfId="1435"/>
    <cellStyle name="Normal 4 2 29" xfId="1437"/>
    <cellStyle name="Normal 4 2 3" xfId="1438"/>
    <cellStyle name="Normal 4 2 30" xfId="1428"/>
    <cellStyle name="Normal 4 2 31" xfId="1430"/>
    <cellStyle name="Normal 4 2 32" xfId="1432"/>
    <cellStyle name="Normal 4 2 33" xfId="1434"/>
    <cellStyle name="Normal 4 2 34" xfId="1436"/>
    <cellStyle name="Normal 4 2 35" xfId="1440"/>
    <cellStyle name="Normal 4 2 36" xfId="1442"/>
    <cellStyle name="Normal 4 2 37" xfId="1444"/>
    <cellStyle name="Normal 4 2 38" xfId="1446"/>
    <cellStyle name="Normal 4 2 39" xfId="1448"/>
    <cellStyle name="Normal 4 2 4" xfId="1449"/>
    <cellStyle name="Normal 4 2 40" xfId="1439"/>
    <cellStyle name="Normal 4 2 41" xfId="1441"/>
    <cellStyle name="Normal 4 2 42" xfId="1443"/>
    <cellStyle name="Normal 4 2 43" xfId="1445"/>
    <cellStyle name="Normal 4 2 44" xfId="1447"/>
    <cellStyle name="Normal 4 2 45" xfId="1451"/>
    <cellStyle name="Normal 4 2 46" xfId="1453"/>
    <cellStyle name="Normal 4 2 47" xfId="1455"/>
    <cellStyle name="Normal 4 2 48" xfId="1457"/>
    <cellStyle name="Normal 4 2 49" xfId="1459"/>
    <cellStyle name="Normal 4 2 5" xfId="1460"/>
    <cellStyle name="Normal 4 2 50" xfId="1450"/>
    <cellStyle name="Normal 4 2 51" xfId="1452"/>
    <cellStyle name="Normal 4 2 52" xfId="1454"/>
    <cellStyle name="Normal 4 2 53" xfId="1456"/>
    <cellStyle name="Normal 4 2 54" xfId="1458"/>
    <cellStyle name="Normal 4 2 55" xfId="1462"/>
    <cellStyle name="Normal 4 2 56" xfId="1464"/>
    <cellStyle name="Normal 4 2 57" xfId="1466"/>
    <cellStyle name="Normal 4 2 58" xfId="1468"/>
    <cellStyle name="Normal 4 2 59" xfId="1470"/>
    <cellStyle name="Normal 4 2 6" xfId="1471"/>
    <cellStyle name="Normal 4 2 60" xfId="1461"/>
    <cellStyle name="Normal 4 2 61" xfId="1463"/>
    <cellStyle name="Normal 4 2 62" xfId="1465"/>
    <cellStyle name="Normal 4 2 63" xfId="1467"/>
    <cellStyle name="Normal 4 2 64" xfId="1469"/>
    <cellStyle name="Normal 4 2 65" xfId="1473"/>
    <cellStyle name="Normal 4 2 66" xfId="1475"/>
    <cellStyle name="Normal 4 2 67" xfId="1477"/>
    <cellStyle name="Normal 4 2 68" xfId="1479"/>
    <cellStyle name="Normal 4 2 69" xfId="1481"/>
    <cellStyle name="Normal 4 2 7" xfId="1482"/>
    <cellStyle name="Normal 4 2 70" xfId="1472"/>
    <cellStyle name="Normal 4 2 71" xfId="1474"/>
    <cellStyle name="Normal 4 2 72" xfId="1476"/>
    <cellStyle name="Normal 4 2 73" xfId="1478"/>
    <cellStyle name="Normal 4 2 74" xfId="1480"/>
    <cellStyle name="Normal 4 2 75" xfId="1484"/>
    <cellStyle name="Normal 4 2 76" xfId="1486"/>
    <cellStyle name="Normal 4 2 77" xfId="1488"/>
    <cellStyle name="Normal 4 2 78" xfId="1490"/>
    <cellStyle name="Normal 4 2 79" xfId="1492"/>
    <cellStyle name="Normal 4 2 8" xfId="1493"/>
    <cellStyle name="Normal 4 2 80" xfId="1483"/>
    <cellStyle name="Normal 4 2 81" xfId="1485"/>
    <cellStyle name="Normal 4 2 82" xfId="1487"/>
    <cellStyle name="Normal 4 2 83" xfId="1489"/>
    <cellStyle name="Normal 4 2 84" xfId="1491"/>
    <cellStyle name="Normal 4 2 85" xfId="1495"/>
    <cellStyle name="Normal 4 2 86" xfId="1496"/>
    <cellStyle name="Normal 4 2 87" xfId="1497"/>
    <cellStyle name="Normal 4 2 88" xfId="1498"/>
    <cellStyle name="Normal 4 2 89" xfId="1499"/>
    <cellStyle name="Normal 4 2 9" xfId="1500"/>
    <cellStyle name="Normal 4 3" xfId="1501"/>
    <cellStyle name="Normal 4 4" xfId="1502"/>
    <cellStyle name="Normal 4 5" xfId="1503"/>
    <cellStyle name="Normal 4 6" xfId="1504"/>
    <cellStyle name="Normal 4 7" xfId="1505"/>
    <cellStyle name="Normal 4 8" xfId="1506"/>
    <cellStyle name="Normal 4 8 2" xfId="1507"/>
    <cellStyle name="Normal 4 8 2 2" xfId="1907"/>
    <cellStyle name="Normal 4 8 3" xfId="1508"/>
    <cellStyle name="Normal 4 8 3 2" xfId="1908"/>
    <cellStyle name="Normal 4 8 4" xfId="1509"/>
    <cellStyle name="Normal 4 8 4 2" xfId="1909"/>
    <cellStyle name="Normal 4 8 5" xfId="1910"/>
    <cellStyle name="Normal 4 8_Sheet1" xfId="144"/>
    <cellStyle name="Normal 4 9" xfId="1510"/>
    <cellStyle name="Normal 5" xfId="1208"/>
    <cellStyle name="Normal 5 10" xfId="1511"/>
    <cellStyle name="Normal 5 11" xfId="1512"/>
    <cellStyle name="Normal 5 12" xfId="1513"/>
    <cellStyle name="Normal 5 13" xfId="1514"/>
    <cellStyle name="Normal 5 14" xfId="1515"/>
    <cellStyle name="Normal 5 15" xfId="1517"/>
    <cellStyle name="Normal 5 16" xfId="1519"/>
    <cellStyle name="Normal 5 17" xfId="1521"/>
    <cellStyle name="Normal 5 18" xfId="1523"/>
    <cellStyle name="Normal 5 19" xfId="1525"/>
    <cellStyle name="Normal 5 2" xfId="1526"/>
    <cellStyle name="Normal 5 20" xfId="1516"/>
    <cellStyle name="Normal 5 21" xfId="1518"/>
    <cellStyle name="Normal 5 22" xfId="1520"/>
    <cellStyle name="Normal 5 23" xfId="1522"/>
    <cellStyle name="Normal 5 24" xfId="1524"/>
    <cellStyle name="Normal 5 25" xfId="1528"/>
    <cellStyle name="Normal 5 26" xfId="1530"/>
    <cellStyle name="Normal 5 27" xfId="1532"/>
    <cellStyle name="Normal 5 28" xfId="1534"/>
    <cellStyle name="Normal 5 29" xfId="1536"/>
    <cellStyle name="Normal 5 3" xfId="1537"/>
    <cellStyle name="Normal 5 30" xfId="1527"/>
    <cellStyle name="Normal 5 31" xfId="1529"/>
    <cellStyle name="Normal 5 32" xfId="1531"/>
    <cellStyle name="Normal 5 33" xfId="1533"/>
    <cellStyle name="Normal 5 34" xfId="1535"/>
    <cellStyle name="Normal 5 35" xfId="1539"/>
    <cellStyle name="Normal 5 36" xfId="1541"/>
    <cellStyle name="Normal 5 37" xfId="1543"/>
    <cellStyle name="Normal 5 38" xfId="1545"/>
    <cellStyle name="Normal 5 39" xfId="1547"/>
    <cellStyle name="Normal 5 4" xfId="1548"/>
    <cellStyle name="Normal 5 40" xfId="1538"/>
    <cellStyle name="Normal 5 41" xfId="1540"/>
    <cellStyle name="Normal 5 42" xfId="1542"/>
    <cellStyle name="Normal 5 43" xfId="1544"/>
    <cellStyle name="Normal 5 44" xfId="1546"/>
    <cellStyle name="Normal 5 45" xfId="1550"/>
    <cellStyle name="Normal 5 46" xfId="1552"/>
    <cellStyle name="Normal 5 47" xfId="1554"/>
    <cellStyle name="Normal 5 48" xfId="1556"/>
    <cellStyle name="Normal 5 49" xfId="1558"/>
    <cellStyle name="Normal 5 5" xfId="1559"/>
    <cellStyle name="Normal 5 50" xfId="1549"/>
    <cellStyle name="Normal 5 51" xfId="1551"/>
    <cellStyle name="Normal 5 52" xfId="1553"/>
    <cellStyle name="Normal 5 53" xfId="1555"/>
    <cellStyle name="Normal 5 54" xfId="1557"/>
    <cellStyle name="Normal 5 55" xfId="1561"/>
    <cellStyle name="Normal 5 56" xfId="1563"/>
    <cellStyle name="Normal 5 57" xfId="1565"/>
    <cellStyle name="Normal 5 58" xfId="1567"/>
    <cellStyle name="Normal 5 59" xfId="1569"/>
    <cellStyle name="Normal 5 6" xfId="1570"/>
    <cellStyle name="Normal 5 60" xfId="1560"/>
    <cellStyle name="Normal 5 61" xfId="1562"/>
    <cellStyle name="Normal 5 62" xfId="1564"/>
    <cellStyle name="Normal 5 63" xfId="1566"/>
    <cellStyle name="Normal 5 64" xfId="1568"/>
    <cellStyle name="Normal 5 65" xfId="1572"/>
    <cellStyle name="Normal 5 66" xfId="1574"/>
    <cellStyle name="Normal 5 67" xfId="1576"/>
    <cellStyle name="Normal 5 68" xfId="1578"/>
    <cellStyle name="Normal 5 69" xfId="1580"/>
    <cellStyle name="Normal 5 7" xfId="1581"/>
    <cellStyle name="Normal 5 70" xfId="1571"/>
    <cellStyle name="Normal 5 71" xfId="1573"/>
    <cellStyle name="Normal 5 72" xfId="1575"/>
    <cellStyle name="Normal 5 73" xfId="1577"/>
    <cellStyle name="Normal 5 74" xfId="1579"/>
    <cellStyle name="Normal 5 75" xfId="1583"/>
    <cellStyle name="Normal 5 76" xfId="1585"/>
    <cellStyle name="Normal 5 77" xfId="1587"/>
    <cellStyle name="Normal 5 78" xfId="1589"/>
    <cellStyle name="Normal 5 79" xfId="1591"/>
    <cellStyle name="Normal 5 8" xfId="1592"/>
    <cellStyle name="Normal 5 80" xfId="1582"/>
    <cellStyle name="Normal 5 81" xfId="1584"/>
    <cellStyle name="Normal 5 82" xfId="1586"/>
    <cellStyle name="Normal 5 83" xfId="1588"/>
    <cellStyle name="Normal 5 84" xfId="1590"/>
    <cellStyle name="Normal 5 85" xfId="1594"/>
    <cellStyle name="Normal 5 86" xfId="1596"/>
    <cellStyle name="Normal 5 87" xfId="1597"/>
    <cellStyle name="Normal 5 88" xfId="1598"/>
    <cellStyle name="Normal 5 89" xfId="1599"/>
    <cellStyle name="Normal 5 9" xfId="1600"/>
    <cellStyle name="Normal 5 90" xfId="1593"/>
    <cellStyle name="Normal 5 91" xfId="1595"/>
    <cellStyle name="Normal 6" xfId="1210"/>
    <cellStyle name="Normal 6 10" xfId="1601"/>
    <cellStyle name="Normal 6 11" xfId="1602"/>
    <cellStyle name="Normal 6 12" xfId="1603"/>
    <cellStyle name="Normal 6 13" xfId="1604"/>
    <cellStyle name="Normal 6 14" xfId="1605"/>
    <cellStyle name="Normal 6 15" xfId="1607"/>
    <cellStyle name="Normal 6 16" xfId="19"/>
    <cellStyle name="Normal 6 17" xfId="1609"/>
    <cellStyle name="Normal 6 18" xfId="1611"/>
    <cellStyle name="Normal 6 19" xfId="1613"/>
    <cellStyle name="Normal 6 2" xfId="1614"/>
    <cellStyle name="Normal 6 20" xfId="1606"/>
    <cellStyle name="Normal 6 21" xfId="18"/>
    <cellStyle name="Normal 6 22" xfId="1608"/>
    <cellStyle name="Normal 6 23" xfId="1610"/>
    <cellStyle name="Normal 6 24" xfId="1612"/>
    <cellStyle name="Normal 6 25" xfId="13"/>
    <cellStyle name="Normal 6 26" xfId="1616"/>
    <cellStyle name="Normal 6 27" xfId="1618"/>
    <cellStyle name="Normal 6 28" xfId="1620"/>
    <cellStyle name="Normal 6 29" xfId="1622"/>
    <cellStyle name="Normal 6 3" xfId="1623"/>
    <cellStyle name="Normal 6 30" xfId="12"/>
    <cellStyle name="Normal 6 31" xfId="1615"/>
    <cellStyle name="Normal 6 32" xfId="1617"/>
    <cellStyle name="Normal 6 33" xfId="1619"/>
    <cellStyle name="Normal 6 34" xfId="1621"/>
    <cellStyle name="Normal 6 35" xfId="1625"/>
    <cellStyle name="Normal 6 36" xfId="1627"/>
    <cellStyle name="Normal 6 37" xfId="1629"/>
    <cellStyle name="Normal 6 38" xfId="1631"/>
    <cellStyle name="Normal 6 39" xfId="1633"/>
    <cellStyle name="Normal 6 4" xfId="1634"/>
    <cellStyle name="Normal 6 40" xfId="1624"/>
    <cellStyle name="Normal 6 41" xfId="1626"/>
    <cellStyle name="Normal 6 42" xfId="1628"/>
    <cellStyle name="Normal 6 43" xfId="1630"/>
    <cellStyle name="Normal 6 44" xfId="1632"/>
    <cellStyle name="Normal 6 45" xfId="1636"/>
    <cellStyle name="Normal 6 46" xfId="1638"/>
    <cellStyle name="Normal 6 47" xfId="1640"/>
    <cellStyle name="Normal 6 48" xfId="1642"/>
    <cellStyle name="Normal 6 49" xfId="1644"/>
    <cellStyle name="Normal 6 5" xfId="1645"/>
    <cellStyle name="Normal 6 5 2" xfId="1646"/>
    <cellStyle name="Normal 6 5 2 2" xfId="1911"/>
    <cellStyle name="Normal 6 5 3" xfId="1647"/>
    <cellStyle name="Normal 6 5 3 2" xfId="1912"/>
    <cellStyle name="Normal 6 5 4" xfId="1648"/>
    <cellStyle name="Normal 6 5 4 2" xfId="1913"/>
    <cellStyle name="Normal 6 5 5" xfId="1914"/>
    <cellStyle name="Normal 6 5_Sheet1" xfId="1649"/>
    <cellStyle name="Normal 6 50" xfId="1635"/>
    <cellStyle name="Normal 6 51" xfId="1637"/>
    <cellStyle name="Normal 6 52" xfId="1639"/>
    <cellStyle name="Normal 6 53" xfId="1641"/>
    <cellStyle name="Normal 6 54" xfId="1643"/>
    <cellStyle name="Normal 6 55" xfId="1651"/>
    <cellStyle name="Normal 6 56" xfId="1653"/>
    <cellStyle name="Normal 6 57" xfId="1655"/>
    <cellStyle name="Normal 6 58" xfId="1657"/>
    <cellStyle name="Normal 6 59" xfId="1659"/>
    <cellStyle name="Normal 6 6" xfId="1660"/>
    <cellStyle name="Normal 6 60" xfId="1650"/>
    <cellStyle name="Normal 6 61" xfId="1652"/>
    <cellStyle name="Normal 6 62" xfId="1654"/>
    <cellStyle name="Normal 6 63" xfId="1656"/>
    <cellStyle name="Normal 6 64" xfId="1658"/>
    <cellStyle name="Normal 6 65" xfId="1662"/>
    <cellStyle name="Normal 6 66" xfId="1664"/>
    <cellStyle name="Normal 6 67" xfId="1666"/>
    <cellStyle name="Normal 6 68" xfId="1668"/>
    <cellStyle name="Normal 6 69" xfId="1670"/>
    <cellStyle name="Normal 6 7" xfId="1671"/>
    <cellStyle name="Normal 6 70" xfId="1661"/>
    <cellStyle name="Normal 6 71" xfId="1663"/>
    <cellStyle name="Normal 6 72" xfId="1665"/>
    <cellStyle name="Normal 6 73" xfId="1667"/>
    <cellStyle name="Normal 6 74" xfId="1669"/>
    <cellStyle name="Normal 6 75" xfId="1673"/>
    <cellStyle name="Normal 6 76" xfId="1675"/>
    <cellStyle name="Normal 6 77" xfId="1677"/>
    <cellStyle name="Normal 6 78" xfId="1679"/>
    <cellStyle name="Normal 6 79" xfId="1681"/>
    <cellStyle name="Normal 6 8" xfId="1682"/>
    <cellStyle name="Normal 6 80" xfId="1672"/>
    <cellStyle name="Normal 6 81" xfId="1674"/>
    <cellStyle name="Normal 6 82" xfId="1676"/>
    <cellStyle name="Normal 6 83" xfId="1678"/>
    <cellStyle name="Normal 6 84" xfId="1680"/>
    <cellStyle name="Normal 6 85" xfId="1683"/>
    <cellStyle name="Normal 6 86" xfId="1684"/>
    <cellStyle name="Normal 6 87" xfId="1685"/>
    <cellStyle name="Normal 6 9" xfId="1686"/>
    <cellStyle name="Normal 7" xfId="1687"/>
    <cellStyle name="Normal 7 2" xfId="16"/>
    <cellStyle name="Normal 7 3" xfId="1920"/>
    <cellStyle name="Normal 8" xfId="1688"/>
    <cellStyle name="Normal 8 2" xfId="1689"/>
    <cellStyle name="Normal 8 3" xfId="1915"/>
    <cellStyle name="Normal 9" xfId="1690"/>
    <cellStyle name="Normal 9 2" xfId="1691"/>
    <cellStyle name="Normal 9 3" xfId="1692"/>
    <cellStyle name="Normal 9 4" xfId="1693"/>
    <cellStyle name="Normal 9_Sheet1" xfId="1694"/>
    <cellStyle name="Normal_18_Neraca Biro" xfId="1695"/>
    <cellStyle name="Normal_18_Neraca Biro 2" xfId="1707"/>
    <cellStyle name="Normal_Lampiran II PERDA ABT 2003" xfId="1153"/>
    <cellStyle name="Normal_Lampiran III RASK TA.2003" xfId="1494"/>
    <cellStyle name="Normal_Rekap Tri II 2004ACetak_TEST ARUS KAS 2 2" xfId="1696"/>
    <cellStyle name="Percent 2" xfId="1697"/>
    <cellStyle name="Percent 2 2" xfId="1698"/>
    <cellStyle name="Percent 2 3" xfId="169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externalLink" Target="externalLinks/externalLink7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2.xml"/><Relationship Id="rId42" Type="http://schemas.openxmlformats.org/officeDocument/2006/relationships/externalLink" Target="externalLinks/externalLink10.xml"/><Relationship Id="rId47" Type="http://schemas.openxmlformats.org/officeDocument/2006/relationships/externalLink" Target="externalLinks/externalLink15.xml"/><Relationship Id="rId50" Type="http://schemas.openxmlformats.org/officeDocument/2006/relationships/externalLink" Target="externalLinks/externalLink18.xml"/><Relationship Id="rId55" Type="http://schemas.openxmlformats.org/officeDocument/2006/relationships/externalLink" Target="externalLinks/externalLink23.xml"/><Relationship Id="rId63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externalLink" Target="externalLinks/externalLink9.xml"/><Relationship Id="rId54" Type="http://schemas.openxmlformats.org/officeDocument/2006/relationships/externalLink" Target="externalLinks/externalLink22.xml"/><Relationship Id="rId62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externalLink" Target="externalLinks/externalLink5.xml"/><Relationship Id="rId40" Type="http://schemas.openxmlformats.org/officeDocument/2006/relationships/externalLink" Target="externalLinks/externalLink8.xml"/><Relationship Id="rId45" Type="http://schemas.openxmlformats.org/officeDocument/2006/relationships/externalLink" Target="externalLinks/externalLink13.xml"/><Relationship Id="rId53" Type="http://schemas.openxmlformats.org/officeDocument/2006/relationships/externalLink" Target="externalLinks/externalLink21.xml"/><Relationship Id="rId58" Type="http://schemas.openxmlformats.org/officeDocument/2006/relationships/externalLink" Target="externalLinks/externalLink26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4.xml"/><Relationship Id="rId49" Type="http://schemas.openxmlformats.org/officeDocument/2006/relationships/externalLink" Target="externalLinks/externalLink17.xml"/><Relationship Id="rId57" Type="http://schemas.openxmlformats.org/officeDocument/2006/relationships/externalLink" Target="externalLinks/externalLink25.xml"/><Relationship Id="rId61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externalLink" Target="externalLinks/externalLink12.xml"/><Relationship Id="rId52" Type="http://schemas.openxmlformats.org/officeDocument/2006/relationships/externalLink" Target="externalLinks/externalLink20.xml"/><Relationship Id="rId6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3.xml"/><Relationship Id="rId43" Type="http://schemas.openxmlformats.org/officeDocument/2006/relationships/externalLink" Target="externalLinks/externalLink11.xml"/><Relationship Id="rId48" Type="http://schemas.openxmlformats.org/officeDocument/2006/relationships/externalLink" Target="externalLinks/externalLink16.xml"/><Relationship Id="rId56" Type="http://schemas.openxmlformats.org/officeDocument/2006/relationships/externalLink" Target="externalLinks/externalLink24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19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1.xml"/><Relationship Id="rId38" Type="http://schemas.openxmlformats.org/officeDocument/2006/relationships/externalLink" Target="externalLinks/externalLink6.xml"/><Relationship Id="rId46" Type="http://schemas.openxmlformats.org/officeDocument/2006/relationships/externalLink" Target="externalLinks/externalLink14.xml"/><Relationship Id="rId59" Type="http://schemas.openxmlformats.org/officeDocument/2006/relationships/externalLink" Target="externalLinks/externalLink27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685800</xdr:colOff>
      <xdr:row>0</xdr:row>
      <xdr:rowOff>0</xdr:rowOff>
    </xdr:from>
    <xdr:to>
      <xdr:col>17</xdr:col>
      <xdr:colOff>228600</xdr:colOff>
      <xdr:row>2</xdr:row>
      <xdr:rowOff>161925</xdr:rowOff>
    </xdr:to>
    <xdr:sp macro="" textlink="">
      <xdr:nvSpPr>
        <xdr:cNvPr id="2" name="Text Box 2"/>
        <xdr:cNvSpPr txBox="1">
          <a:spLocks noChangeArrowheads="1"/>
        </xdr:cNvSpPr>
      </xdr:nvSpPr>
      <xdr:spPr>
        <a:xfrm>
          <a:off x="15192375" y="0"/>
          <a:ext cx="1543050" cy="542925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id-ID" sz="700" b="0" i="0" strike="noStrike">
              <a:solidFill>
                <a:srgbClr val="000000"/>
              </a:solidFill>
              <a:latin typeface="Tahoma" panose="020B0604030504040204"/>
              <a:cs typeface="Tahoma" panose="020B0604030504040204"/>
            </a:rPr>
            <a:t>LAMPIRAN</a:t>
          </a:r>
          <a:r>
            <a:rPr lang="id-ID" sz="700" b="0" i="0" strike="noStrike" baseline="0">
              <a:solidFill>
                <a:srgbClr val="000000"/>
              </a:solidFill>
              <a:latin typeface="Tahoma" panose="020B0604030504040204"/>
              <a:cs typeface="Tahoma" panose="020B0604030504040204"/>
            </a:rPr>
            <a:t> I</a:t>
          </a:r>
        </a:p>
        <a:p>
          <a:pPr algn="l" rtl="1">
            <a:defRPr sz="1000"/>
          </a:pPr>
          <a:r>
            <a:rPr lang="id-ID" sz="700" b="0" i="0" strike="noStrike">
              <a:solidFill>
                <a:srgbClr val="000000"/>
              </a:solidFill>
              <a:latin typeface="Tahoma" panose="020B0604030504040204"/>
              <a:cs typeface="Tahoma" panose="020B0604030504040204"/>
            </a:rPr>
            <a:t>Catatan</a:t>
          </a:r>
          <a:r>
            <a:rPr lang="id-ID" sz="700" b="0" i="0" strike="noStrike" baseline="0">
              <a:solidFill>
                <a:srgbClr val="000000"/>
              </a:solidFill>
              <a:latin typeface="Tahoma" panose="020B0604030504040204"/>
              <a:cs typeface="Tahoma" panose="020B0604030504040204"/>
            </a:rPr>
            <a:t> atas Laporan Keuangan 201</a:t>
          </a:r>
          <a:r>
            <a:rPr lang="en-ID" sz="700" b="0" i="0" strike="noStrike" baseline="0">
              <a:solidFill>
                <a:srgbClr val="000000"/>
              </a:solidFill>
              <a:latin typeface="Tahoma" panose="020B0604030504040204"/>
              <a:cs typeface="Tahoma" panose="020B0604030504040204"/>
            </a:rPr>
            <a:t>8</a:t>
          </a:r>
          <a:endParaRPr lang="en-US" sz="700" b="0" i="0" strike="noStrike">
            <a:solidFill>
              <a:srgbClr val="000000"/>
            </a:solidFill>
            <a:latin typeface="Tahoma" panose="020B0604030504040204"/>
            <a:cs typeface="Tahoma" panose="020B0604030504040204"/>
          </a:endParaRPr>
        </a:p>
      </xdr:txBody>
    </xdr:sp>
    <xdr:clientData/>
  </xdr:twoCellAnchor>
  <xdr:twoCellAnchor>
    <xdr:from>
      <xdr:col>0</xdr:col>
      <xdr:colOff>228600</xdr:colOff>
      <xdr:row>0</xdr:row>
      <xdr:rowOff>38100</xdr:rowOff>
    </xdr:from>
    <xdr:to>
      <xdr:col>1</xdr:col>
      <xdr:colOff>323850</xdr:colOff>
      <xdr:row>3</xdr:row>
      <xdr:rowOff>38100</xdr:rowOff>
    </xdr:to>
    <xdr:pic>
      <xdr:nvPicPr>
        <xdr:cNvPr id="118916" name="Picture 424" descr="lambang daerah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228600" y="38100"/>
          <a:ext cx="5048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352425</xdr:colOff>
      <xdr:row>2</xdr:row>
      <xdr:rowOff>38100</xdr:rowOff>
    </xdr:from>
    <xdr:to>
      <xdr:col>8</xdr:col>
      <xdr:colOff>108275</xdr:colOff>
      <xdr:row>2</xdr:row>
      <xdr:rowOff>39358</xdr:rowOff>
    </xdr:to>
    <xdr:sp macro="" textlink="">
      <xdr:nvSpPr>
        <xdr:cNvPr id="3" name="Text Box 2"/>
        <xdr:cNvSpPr txBox="1">
          <a:spLocks noChangeArrowheads="1"/>
        </xdr:cNvSpPr>
      </xdr:nvSpPr>
      <xdr:spPr>
        <a:xfrm>
          <a:off x="6829425" y="400050"/>
          <a:ext cx="2062480" cy="36576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id-ID" sz="700" b="0" i="0" strike="noStrike">
              <a:solidFill>
                <a:srgbClr val="000000"/>
              </a:solidFill>
              <a:latin typeface="Tahoma" panose="020B0604030504040204"/>
              <a:cs typeface="Tahoma" panose="020B0604030504040204"/>
            </a:rPr>
            <a:t>LAMPIRAN</a:t>
          </a:r>
          <a:r>
            <a:rPr lang="id-ID" sz="700" b="0" i="0" strike="noStrike" baseline="0">
              <a:solidFill>
                <a:srgbClr val="000000"/>
              </a:solidFill>
              <a:latin typeface="Tahoma" panose="020B0604030504040204"/>
              <a:cs typeface="Tahoma" panose="020B0604030504040204"/>
            </a:rPr>
            <a:t> X</a:t>
          </a:r>
        </a:p>
        <a:p>
          <a:pPr algn="l" rtl="1">
            <a:defRPr sz="1000"/>
          </a:pPr>
          <a:r>
            <a:rPr lang="id-ID" sz="700" b="0" i="0" strike="noStrike">
              <a:solidFill>
                <a:srgbClr val="000000"/>
              </a:solidFill>
              <a:latin typeface="Tahoma" panose="020B0604030504040204"/>
              <a:cs typeface="Tahoma" panose="020B0604030504040204"/>
            </a:rPr>
            <a:t>Catatan</a:t>
          </a:r>
          <a:r>
            <a:rPr lang="id-ID" sz="700" b="0" i="0" strike="noStrike" baseline="0">
              <a:solidFill>
                <a:srgbClr val="000000"/>
              </a:solidFill>
              <a:latin typeface="Tahoma" panose="020B0604030504040204"/>
              <a:cs typeface="Tahoma" panose="020B0604030504040204"/>
            </a:rPr>
            <a:t> atas Laporan Keuangan 2018</a:t>
          </a:r>
          <a:endParaRPr lang="en-US" sz="700" b="0" i="0" strike="noStrike">
            <a:solidFill>
              <a:srgbClr val="000000"/>
            </a:solidFill>
            <a:latin typeface="Tahoma" panose="020B0604030504040204"/>
            <a:cs typeface="Tahoma" panose="020B0604030504040204"/>
          </a:endParaRPr>
        </a:p>
      </xdr:txBody>
    </xdr:sp>
    <xdr:clientData/>
  </xdr:twoCellAnchor>
  <xdr:twoCellAnchor>
    <xdr:from>
      <xdr:col>2</xdr:col>
      <xdr:colOff>66675</xdr:colOff>
      <xdr:row>1</xdr:row>
      <xdr:rowOff>171450</xdr:rowOff>
    </xdr:from>
    <xdr:to>
      <xdr:col>2</xdr:col>
      <xdr:colOff>476250</xdr:colOff>
      <xdr:row>4</xdr:row>
      <xdr:rowOff>95250</xdr:rowOff>
    </xdr:to>
    <xdr:pic>
      <xdr:nvPicPr>
        <xdr:cNvPr id="4" name="Picture 424" descr="lambang daerah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00050" y="333375"/>
          <a:ext cx="409575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790575</xdr:colOff>
      <xdr:row>0</xdr:row>
      <xdr:rowOff>95250</xdr:rowOff>
    </xdr:from>
    <xdr:to>
      <xdr:col>13</xdr:col>
      <xdr:colOff>578956</xdr:colOff>
      <xdr:row>2</xdr:row>
      <xdr:rowOff>133350</xdr:rowOff>
    </xdr:to>
    <xdr:sp macro="" textlink="">
      <xdr:nvSpPr>
        <xdr:cNvPr id="5" name="Text Box 2"/>
        <xdr:cNvSpPr txBox="1">
          <a:spLocks noChangeArrowheads="1"/>
        </xdr:cNvSpPr>
      </xdr:nvSpPr>
      <xdr:spPr>
        <a:xfrm>
          <a:off x="10744200" y="95250"/>
          <a:ext cx="1436206" cy="40005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id-ID" sz="700" b="0" i="0" strike="noStrike">
              <a:solidFill>
                <a:srgbClr val="000000"/>
              </a:solidFill>
              <a:latin typeface="Tahoma" panose="020B0604030504040204"/>
              <a:cs typeface="Tahoma" panose="020B0604030504040204"/>
            </a:rPr>
            <a:t>LAMPIRAN</a:t>
          </a:r>
          <a:r>
            <a:rPr lang="id-ID" sz="700" b="0" i="0" strike="noStrike" baseline="0">
              <a:solidFill>
                <a:srgbClr val="000000"/>
              </a:solidFill>
              <a:latin typeface="Tahoma" panose="020B0604030504040204"/>
              <a:cs typeface="Tahoma" panose="020B0604030504040204"/>
            </a:rPr>
            <a:t> X</a:t>
          </a:r>
        </a:p>
        <a:p>
          <a:pPr algn="l" rtl="1">
            <a:defRPr sz="1000"/>
          </a:pPr>
          <a:r>
            <a:rPr lang="id-ID" sz="700" b="0" i="0" strike="noStrike">
              <a:solidFill>
                <a:srgbClr val="000000"/>
              </a:solidFill>
              <a:latin typeface="Tahoma" panose="020B0604030504040204"/>
              <a:cs typeface="Tahoma" panose="020B0604030504040204"/>
            </a:rPr>
            <a:t>Catatan</a:t>
          </a:r>
          <a:r>
            <a:rPr lang="id-ID" sz="700" b="0" i="0" strike="noStrike" baseline="0">
              <a:solidFill>
                <a:srgbClr val="000000"/>
              </a:solidFill>
              <a:latin typeface="Tahoma" panose="020B0604030504040204"/>
              <a:cs typeface="Tahoma" panose="020B0604030504040204"/>
            </a:rPr>
            <a:t> atas Laporan Keuangan 2018</a:t>
          </a:r>
          <a:endParaRPr lang="en-US" sz="700" b="0" i="0" strike="noStrike">
            <a:solidFill>
              <a:srgbClr val="000000"/>
            </a:solidFill>
            <a:latin typeface="Tahoma" panose="020B0604030504040204"/>
            <a:cs typeface="Tahoma" panose="020B0604030504040204"/>
          </a:endParaRP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1809750</xdr:colOff>
      <xdr:row>0</xdr:row>
      <xdr:rowOff>127000</xdr:rowOff>
    </xdr:from>
    <xdr:to>
      <xdr:col>9</xdr:col>
      <xdr:colOff>1862667</xdr:colOff>
      <xdr:row>2</xdr:row>
      <xdr:rowOff>148166</xdr:rowOff>
    </xdr:to>
    <xdr:sp macro="" textlink="">
      <xdr:nvSpPr>
        <xdr:cNvPr id="3" name="Text Box 2"/>
        <xdr:cNvSpPr txBox="1">
          <a:spLocks noChangeArrowheads="1"/>
        </xdr:cNvSpPr>
      </xdr:nvSpPr>
      <xdr:spPr>
        <a:xfrm>
          <a:off x="12011025" y="127000"/>
          <a:ext cx="1976755" cy="421005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id-ID" sz="800" b="0" i="0" strike="noStrike">
              <a:solidFill>
                <a:srgbClr val="000000"/>
              </a:solidFill>
              <a:latin typeface="Tahoma" panose="020B0604030504040204"/>
              <a:cs typeface="Tahoma" panose="020B0604030504040204"/>
            </a:rPr>
            <a:t>LAMPIRAN</a:t>
          </a:r>
          <a:r>
            <a:rPr lang="id-ID" sz="800" b="0" i="0" strike="noStrike" baseline="0">
              <a:solidFill>
                <a:srgbClr val="000000"/>
              </a:solidFill>
              <a:latin typeface="Tahoma" panose="020B0604030504040204"/>
              <a:cs typeface="Tahoma" panose="020B0604030504040204"/>
            </a:rPr>
            <a:t> XI</a:t>
          </a:r>
        </a:p>
        <a:p>
          <a:pPr algn="l" rtl="1">
            <a:defRPr sz="1000"/>
          </a:pPr>
          <a:r>
            <a:rPr lang="id-ID" sz="800" b="0" i="0" strike="noStrike">
              <a:solidFill>
                <a:srgbClr val="000000"/>
              </a:solidFill>
              <a:latin typeface="Tahoma" panose="020B0604030504040204"/>
              <a:cs typeface="Tahoma" panose="020B0604030504040204"/>
            </a:rPr>
            <a:t>Catatan</a:t>
          </a:r>
          <a:r>
            <a:rPr lang="id-ID" sz="800" b="0" i="0" strike="noStrike" baseline="0">
              <a:solidFill>
                <a:srgbClr val="000000"/>
              </a:solidFill>
              <a:latin typeface="Tahoma" panose="020B0604030504040204"/>
              <a:cs typeface="Tahoma" panose="020B0604030504040204"/>
            </a:rPr>
            <a:t> atas Laporan Keuangan 2018</a:t>
          </a:r>
          <a:endParaRPr lang="en-US" sz="800" b="0" i="0" strike="noStrike">
            <a:solidFill>
              <a:srgbClr val="000000"/>
            </a:solidFill>
            <a:latin typeface="Tahoma" panose="020B0604030504040204"/>
            <a:cs typeface="Tahoma" panose="020B0604030504040204"/>
          </a:endParaRPr>
        </a:p>
      </xdr:txBody>
    </xdr:sp>
    <xdr:clientData/>
  </xdr:twoCellAnchor>
  <xdr:twoCellAnchor>
    <xdr:from>
      <xdr:col>1</xdr:col>
      <xdr:colOff>208491</xdr:colOff>
      <xdr:row>0</xdr:row>
      <xdr:rowOff>172508</xdr:rowOff>
    </xdr:from>
    <xdr:to>
      <xdr:col>1</xdr:col>
      <xdr:colOff>719666</xdr:colOff>
      <xdr:row>4</xdr:row>
      <xdr:rowOff>10583</xdr:rowOff>
    </xdr:to>
    <xdr:pic>
      <xdr:nvPicPr>
        <xdr:cNvPr id="4" name="Picture 424" descr="lambang daerah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55930" y="172085"/>
          <a:ext cx="511175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523241</xdr:colOff>
      <xdr:row>0</xdr:row>
      <xdr:rowOff>93345</xdr:rowOff>
    </xdr:from>
    <xdr:to>
      <xdr:col>12</xdr:col>
      <xdr:colOff>648604</xdr:colOff>
      <xdr:row>0</xdr:row>
      <xdr:rowOff>96139</xdr:rowOff>
    </xdr:to>
    <xdr:sp macro="" textlink="">
      <xdr:nvSpPr>
        <xdr:cNvPr id="3" name="Text Box 2"/>
        <xdr:cNvSpPr txBox="1">
          <a:spLocks noChangeArrowheads="1"/>
        </xdr:cNvSpPr>
      </xdr:nvSpPr>
      <xdr:spPr>
        <a:xfrm>
          <a:off x="11000740" y="93345"/>
          <a:ext cx="1982470" cy="254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id-ID" sz="700" b="0" i="0" strike="noStrike">
              <a:solidFill>
                <a:srgbClr val="000000"/>
              </a:solidFill>
              <a:latin typeface="Tahoma" panose="020B0604030504040204"/>
              <a:cs typeface="Tahoma" panose="020B0604030504040204"/>
            </a:rPr>
            <a:t>LAMPIRAN XIV</a:t>
          </a:r>
          <a:r>
            <a:rPr lang="id-ID" sz="700" b="0" i="0" strike="noStrike" baseline="0">
              <a:solidFill>
                <a:srgbClr val="000000"/>
              </a:solidFill>
              <a:latin typeface="Tahoma" panose="020B0604030504040204"/>
              <a:cs typeface="Tahoma" panose="020B0604030504040204"/>
            </a:rPr>
            <a:t> </a:t>
          </a:r>
        </a:p>
        <a:p>
          <a:pPr algn="l" rtl="1">
            <a:defRPr sz="1000"/>
          </a:pPr>
          <a:r>
            <a:rPr lang="id-ID" sz="700" b="0" i="0" strike="noStrike">
              <a:solidFill>
                <a:srgbClr val="000000"/>
              </a:solidFill>
              <a:latin typeface="Tahoma" panose="020B0604030504040204"/>
              <a:cs typeface="Tahoma" panose="020B0604030504040204"/>
            </a:rPr>
            <a:t>Catatan</a:t>
          </a:r>
          <a:r>
            <a:rPr lang="id-ID" sz="700" b="0" i="0" strike="noStrike" baseline="0">
              <a:solidFill>
                <a:srgbClr val="000000"/>
              </a:solidFill>
              <a:latin typeface="Tahoma" panose="020B0604030504040204"/>
              <a:cs typeface="Tahoma" panose="020B0604030504040204"/>
            </a:rPr>
            <a:t> atas Laporan Keuangan 2015</a:t>
          </a:r>
          <a:endParaRPr lang="en-US" sz="700" b="0" i="0" strike="noStrike">
            <a:solidFill>
              <a:srgbClr val="000000"/>
            </a:solidFill>
            <a:latin typeface="Tahoma" panose="020B0604030504040204"/>
            <a:cs typeface="Tahoma" panose="020B0604030504040204"/>
          </a:endParaRPr>
        </a:p>
      </xdr:txBody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210204</xdr:colOff>
      <xdr:row>0</xdr:row>
      <xdr:rowOff>25854</xdr:rowOff>
    </xdr:to>
    <xdr:sp macro="" textlink="">
      <xdr:nvSpPr>
        <xdr:cNvPr id="4" name="Text Box 2"/>
        <xdr:cNvSpPr txBox="1">
          <a:spLocks noChangeArrowheads="1"/>
        </xdr:cNvSpPr>
      </xdr:nvSpPr>
      <xdr:spPr>
        <a:xfrm>
          <a:off x="11477625" y="0"/>
          <a:ext cx="1800860" cy="2540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id-ID" sz="700" b="0" i="0" strike="noStrike">
              <a:solidFill>
                <a:srgbClr val="000000"/>
              </a:solidFill>
              <a:latin typeface="Tahoma" panose="020B0604030504040204"/>
              <a:cs typeface="Tahoma" panose="020B0604030504040204"/>
            </a:rPr>
            <a:t>LAMPIRAN</a:t>
          </a:r>
          <a:r>
            <a:rPr lang="id-ID" sz="700" b="0" i="0" strike="noStrike" baseline="0">
              <a:solidFill>
                <a:srgbClr val="000000"/>
              </a:solidFill>
              <a:latin typeface="Tahoma" panose="020B0604030504040204"/>
              <a:cs typeface="Tahoma" panose="020B0604030504040204"/>
            </a:rPr>
            <a:t> XIV</a:t>
          </a:r>
        </a:p>
        <a:p>
          <a:pPr algn="l" rtl="1">
            <a:defRPr sz="1000"/>
          </a:pPr>
          <a:r>
            <a:rPr lang="id-ID" sz="700" b="0" i="0" strike="noStrike">
              <a:solidFill>
                <a:srgbClr val="000000"/>
              </a:solidFill>
              <a:latin typeface="Tahoma" panose="020B0604030504040204"/>
              <a:cs typeface="Tahoma" panose="020B0604030504040204"/>
            </a:rPr>
            <a:t>Catatan</a:t>
          </a:r>
          <a:r>
            <a:rPr lang="id-ID" sz="700" b="0" i="0" strike="noStrike" baseline="0">
              <a:solidFill>
                <a:srgbClr val="000000"/>
              </a:solidFill>
              <a:latin typeface="Tahoma" panose="020B0604030504040204"/>
              <a:cs typeface="Tahoma" panose="020B0604030504040204"/>
            </a:rPr>
            <a:t> atas Laporan Keuangan 2015</a:t>
          </a:r>
          <a:endParaRPr lang="en-US" sz="700" b="0" i="0" strike="noStrike">
            <a:solidFill>
              <a:srgbClr val="000000"/>
            </a:solidFill>
            <a:latin typeface="Tahoma" panose="020B0604030504040204"/>
            <a:cs typeface="Tahoma" panose="020B0604030504040204"/>
          </a:endParaRPr>
        </a:p>
      </xdr:txBody>
    </xdr:sp>
    <xdr:clientData/>
  </xdr:twoCellAnchor>
  <xdr:twoCellAnchor editAs="oneCell">
    <xdr:from>
      <xdr:col>10</xdr:col>
      <xdr:colOff>19050</xdr:colOff>
      <xdr:row>1</xdr:row>
      <xdr:rowOff>123825</xdr:rowOff>
    </xdr:from>
    <xdr:to>
      <xdr:col>12</xdr:col>
      <xdr:colOff>38100</xdr:colOff>
      <xdr:row>3</xdr:row>
      <xdr:rowOff>116200</xdr:rowOff>
    </xdr:to>
    <xdr:sp macro="" textlink="">
      <xdr:nvSpPr>
        <xdr:cNvPr id="5" name="Text Box 2"/>
        <xdr:cNvSpPr txBox="1">
          <a:spLocks noChangeArrowheads="1"/>
        </xdr:cNvSpPr>
      </xdr:nvSpPr>
      <xdr:spPr>
        <a:xfrm>
          <a:off x="10496550" y="285750"/>
          <a:ext cx="1876425" cy="372745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id-ID" sz="700" b="0" i="0" strike="noStrike">
              <a:solidFill>
                <a:srgbClr val="000000"/>
              </a:solidFill>
              <a:latin typeface="Tahoma" panose="020B0604030504040204"/>
              <a:cs typeface="Tahoma" panose="020B0604030504040204"/>
            </a:rPr>
            <a:t>LAMPIRAN</a:t>
          </a:r>
          <a:r>
            <a:rPr lang="id-ID" sz="700" b="0" i="0" strike="noStrike" baseline="0">
              <a:solidFill>
                <a:srgbClr val="000000"/>
              </a:solidFill>
              <a:latin typeface="Tahoma" panose="020B0604030504040204"/>
              <a:cs typeface="Tahoma" panose="020B0604030504040204"/>
            </a:rPr>
            <a:t> XII                                           </a:t>
          </a:r>
        </a:p>
        <a:p>
          <a:pPr algn="l" rtl="1">
            <a:defRPr sz="1000"/>
          </a:pPr>
          <a:r>
            <a:rPr lang="id-ID" sz="700" b="0" i="0" strike="noStrike" baseline="0">
              <a:solidFill>
                <a:srgbClr val="000000"/>
              </a:solidFill>
              <a:latin typeface="Tahoma" panose="020B0604030504040204"/>
              <a:cs typeface="Tahoma" panose="020B0604030504040204"/>
            </a:rPr>
            <a:t> </a:t>
          </a:r>
          <a:r>
            <a:rPr lang="id-ID" sz="700" b="0" i="0" strike="noStrike">
              <a:solidFill>
                <a:srgbClr val="000000"/>
              </a:solidFill>
              <a:latin typeface="Tahoma" panose="020B0604030504040204"/>
              <a:cs typeface="Tahoma" panose="020B0604030504040204"/>
            </a:rPr>
            <a:t>Catatan</a:t>
          </a:r>
          <a:r>
            <a:rPr lang="id-ID" sz="700" b="0" i="0" strike="noStrike" baseline="0">
              <a:solidFill>
                <a:srgbClr val="000000"/>
              </a:solidFill>
              <a:latin typeface="Tahoma" panose="020B0604030504040204"/>
              <a:cs typeface="Tahoma" panose="020B0604030504040204"/>
            </a:rPr>
            <a:t> atas Laporan Keuangan 201</a:t>
          </a:r>
          <a:r>
            <a:rPr lang="en-US" sz="700" b="0" i="0" strike="noStrike" baseline="0">
              <a:solidFill>
                <a:srgbClr val="000000"/>
              </a:solidFill>
              <a:latin typeface="Tahoma" panose="020B0604030504040204"/>
              <a:cs typeface="Tahoma" panose="020B0604030504040204"/>
            </a:rPr>
            <a:t>8</a:t>
          </a:r>
          <a:endParaRPr lang="en-US" sz="700" b="0" i="0" strike="noStrike">
            <a:solidFill>
              <a:srgbClr val="000000"/>
            </a:solidFill>
            <a:latin typeface="Tahoma" panose="020B0604030504040204"/>
            <a:cs typeface="Tahoma" panose="020B0604030504040204"/>
          </a:endParaRPr>
        </a:p>
      </xdr:txBody>
    </xdr:sp>
    <xdr:clientData/>
  </xdr:twoCellAnchor>
  <xdr:twoCellAnchor>
    <xdr:from>
      <xdr:col>2</xdr:col>
      <xdr:colOff>161925</xdr:colOff>
      <xdr:row>0</xdr:row>
      <xdr:rowOff>152400</xdr:rowOff>
    </xdr:from>
    <xdr:to>
      <xdr:col>2</xdr:col>
      <xdr:colOff>571500</xdr:colOff>
      <xdr:row>3</xdr:row>
      <xdr:rowOff>133350</xdr:rowOff>
    </xdr:to>
    <xdr:pic>
      <xdr:nvPicPr>
        <xdr:cNvPr id="6" name="Picture 424" descr="lambang daerah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57225" y="152400"/>
          <a:ext cx="409575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131989</xdr:colOff>
      <xdr:row>0</xdr:row>
      <xdr:rowOff>110219</xdr:rowOff>
    </xdr:from>
    <xdr:to>
      <xdr:col>2</xdr:col>
      <xdr:colOff>654504</xdr:colOff>
      <xdr:row>4</xdr:row>
      <xdr:rowOff>43544</xdr:rowOff>
    </xdr:to>
    <xdr:pic>
      <xdr:nvPicPr>
        <xdr:cNvPr id="2" name="Picture 424" descr="lambang daerah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4889" y="110219"/>
          <a:ext cx="52251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786366</xdr:colOff>
      <xdr:row>1</xdr:row>
      <xdr:rowOff>33226</xdr:rowOff>
    </xdr:from>
    <xdr:to>
      <xdr:col>7</xdr:col>
      <xdr:colOff>1244147</xdr:colOff>
      <xdr:row>3</xdr:row>
      <xdr:rowOff>122291</xdr:rowOff>
    </xdr:to>
    <xdr:sp macro="" textlink="">
      <xdr:nvSpPr>
        <xdr:cNvPr id="4" name="Text Box 2"/>
        <xdr:cNvSpPr txBox="1">
          <a:spLocks noChangeArrowheads="1"/>
        </xdr:cNvSpPr>
      </xdr:nvSpPr>
      <xdr:spPr>
        <a:xfrm>
          <a:off x="8572500" y="199360"/>
          <a:ext cx="2019438" cy="421332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id-ID" sz="700" b="0" i="0" strike="noStrike">
              <a:solidFill>
                <a:srgbClr val="000000"/>
              </a:solidFill>
              <a:latin typeface="Tahoma" panose="020B0604030504040204"/>
              <a:cs typeface="Tahoma" panose="020B0604030504040204"/>
            </a:rPr>
            <a:t>LAMPIRAN</a:t>
          </a:r>
          <a:r>
            <a:rPr lang="id-ID" sz="700" b="0" i="0" strike="noStrike" baseline="0">
              <a:solidFill>
                <a:srgbClr val="000000"/>
              </a:solidFill>
              <a:latin typeface="Tahoma" panose="020B0604030504040204"/>
              <a:cs typeface="Tahoma" panose="020B0604030504040204"/>
            </a:rPr>
            <a:t> XIII                                          </a:t>
          </a:r>
        </a:p>
        <a:p>
          <a:pPr algn="l" rtl="1">
            <a:defRPr sz="1000"/>
          </a:pPr>
          <a:r>
            <a:rPr lang="id-ID" sz="700" b="0" i="0" strike="noStrike">
              <a:solidFill>
                <a:srgbClr val="000000"/>
              </a:solidFill>
              <a:latin typeface="Tahoma" panose="020B0604030504040204"/>
              <a:cs typeface="Tahoma" panose="020B0604030504040204"/>
            </a:rPr>
            <a:t>Catatan</a:t>
          </a:r>
          <a:r>
            <a:rPr lang="id-ID" sz="700" b="0" i="0" strike="noStrike" baseline="0">
              <a:solidFill>
                <a:srgbClr val="000000"/>
              </a:solidFill>
              <a:latin typeface="Tahoma" panose="020B0604030504040204"/>
              <a:cs typeface="Tahoma" panose="020B0604030504040204"/>
            </a:rPr>
            <a:t> atas Laporan Keuangan 201</a:t>
          </a:r>
          <a:r>
            <a:rPr lang="en-US" sz="700" b="0" i="0" strike="noStrike" baseline="0">
              <a:solidFill>
                <a:srgbClr val="000000"/>
              </a:solidFill>
              <a:latin typeface="Tahoma" panose="020B0604030504040204"/>
              <a:cs typeface="Tahoma" panose="020B0604030504040204"/>
            </a:rPr>
            <a:t>8</a:t>
          </a:r>
          <a:endParaRPr lang="en-US" sz="700" b="0" i="0" strike="noStrike">
            <a:solidFill>
              <a:srgbClr val="000000"/>
            </a:solidFill>
            <a:latin typeface="Tahoma" panose="020B0604030504040204"/>
            <a:cs typeface="Tahoma" panose="020B0604030504040204"/>
          </a:endParaRP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593090</xdr:colOff>
      <xdr:row>1</xdr:row>
      <xdr:rowOff>0</xdr:rowOff>
    </xdr:from>
    <xdr:to>
      <xdr:col>10</xdr:col>
      <xdr:colOff>408510</xdr:colOff>
      <xdr:row>1</xdr:row>
      <xdr:rowOff>3430</xdr:rowOff>
    </xdr:to>
    <xdr:sp macro="" textlink="">
      <xdr:nvSpPr>
        <xdr:cNvPr id="2" name="Text Box 2"/>
        <xdr:cNvSpPr txBox="1">
          <a:spLocks noChangeArrowheads="1"/>
        </xdr:cNvSpPr>
      </xdr:nvSpPr>
      <xdr:spPr>
        <a:xfrm>
          <a:off x="9441815" y="161925"/>
          <a:ext cx="1481455" cy="3175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id-ID" sz="700" b="0" i="0" strike="noStrike">
              <a:solidFill>
                <a:srgbClr val="000000"/>
              </a:solidFill>
              <a:latin typeface="Tahoma" panose="020B0604030504040204"/>
              <a:cs typeface="Tahoma" panose="020B0604030504040204"/>
            </a:rPr>
            <a:t> </a:t>
          </a:r>
        </a:p>
        <a:p>
          <a:pPr algn="l" rtl="1">
            <a:defRPr sz="1000"/>
          </a:pPr>
          <a:r>
            <a:rPr lang="id-ID" sz="700" b="0" i="0" strike="noStrike">
              <a:solidFill>
                <a:srgbClr val="000000"/>
              </a:solidFill>
              <a:latin typeface="Tahoma" panose="020B0604030504040204"/>
              <a:cs typeface="Tahoma" panose="020B0604030504040204"/>
            </a:rPr>
            <a:t>LAMPIRAN V</a:t>
          </a:r>
          <a:r>
            <a:rPr lang="id-ID" sz="700" b="0" i="0" strike="noStrike" baseline="0">
              <a:solidFill>
                <a:srgbClr val="000000"/>
              </a:solidFill>
              <a:latin typeface="Tahoma" panose="020B0604030504040204"/>
              <a:cs typeface="Tahoma" panose="020B0604030504040204"/>
            </a:rPr>
            <a:t> </a:t>
          </a:r>
        </a:p>
        <a:p>
          <a:pPr algn="l" rtl="1">
            <a:defRPr sz="1000"/>
          </a:pPr>
          <a:r>
            <a:rPr lang="id-ID" sz="700" b="0" i="0" strike="noStrike">
              <a:solidFill>
                <a:srgbClr val="000000"/>
              </a:solidFill>
              <a:latin typeface="Tahoma" panose="020B0604030504040204"/>
              <a:cs typeface="Tahoma" panose="020B0604030504040204"/>
            </a:rPr>
            <a:t>Catatan</a:t>
          </a:r>
          <a:r>
            <a:rPr lang="id-ID" sz="700" b="0" i="0" strike="noStrike" baseline="0">
              <a:solidFill>
                <a:srgbClr val="000000"/>
              </a:solidFill>
              <a:latin typeface="Tahoma" panose="020B0604030504040204"/>
              <a:cs typeface="Tahoma" panose="020B0604030504040204"/>
            </a:rPr>
            <a:t> atas Laporan Keuangan 2013</a:t>
          </a:r>
          <a:endParaRPr lang="en-US" sz="700" b="0" i="0" strike="noStrike">
            <a:solidFill>
              <a:srgbClr val="000000"/>
            </a:solidFill>
            <a:latin typeface="Tahoma" panose="020B0604030504040204"/>
            <a:cs typeface="Tahoma" panose="020B0604030504040204"/>
          </a:endParaRPr>
        </a:p>
      </xdr:txBody>
    </xdr:sp>
    <xdr:clientData/>
  </xdr:twoCellAnchor>
  <xdr:twoCellAnchor editAs="oneCell">
    <xdr:from>
      <xdr:col>9</xdr:col>
      <xdr:colOff>724536</xdr:colOff>
      <xdr:row>1</xdr:row>
      <xdr:rowOff>127001</xdr:rowOff>
    </xdr:from>
    <xdr:to>
      <xdr:col>11</xdr:col>
      <xdr:colOff>779392</xdr:colOff>
      <xdr:row>1</xdr:row>
      <xdr:rowOff>132758</xdr:rowOff>
    </xdr:to>
    <xdr:sp macro="" textlink="">
      <xdr:nvSpPr>
        <xdr:cNvPr id="4" name="Text Box 2"/>
        <xdr:cNvSpPr txBox="1">
          <a:spLocks noChangeArrowheads="1"/>
        </xdr:cNvSpPr>
      </xdr:nvSpPr>
      <xdr:spPr>
        <a:xfrm>
          <a:off x="10706735" y="288925"/>
          <a:ext cx="1592580" cy="31496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id-ID" sz="700" b="0" i="0" strike="noStrike">
              <a:solidFill>
                <a:srgbClr val="000000"/>
              </a:solidFill>
              <a:latin typeface="Tahoma" panose="020B0604030504040204"/>
              <a:cs typeface="Tahoma" panose="020B0604030504040204"/>
            </a:rPr>
            <a:t>LAMPIRAN</a:t>
          </a:r>
          <a:r>
            <a:rPr lang="id-ID" sz="700" b="0" i="0" strike="noStrike" baseline="0">
              <a:solidFill>
                <a:srgbClr val="000000"/>
              </a:solidFill>
              <a:latin typeface="Tahoma" panose="020B0604030504040204"/>
              <a:cs typeface="Tahoma" panose="020B0604030504040204"/>
            </a:rPr>
            <a:t> XIV</a:t>
          </a:r>
          <a:endParaRPr lang="en-US" sz="700" b="0" i="0" strike="noStrike" baseline="0">
            <a:solidFill>
              <a:srgbClr val="000000"/>
            </a:solidFill>
            <a:latin typeface="Tahoma" panose="020B0604030504040204"/>
            <a:cs typeface="Tahoma" panose="020B0604030504040204"/>
          </a:endParaRPr>
        </a:p>
        <a:p>
          <a:pPr algn="l" rtl="1">
            <a:defRPr sz="1000"/>
          </a:pPr>
          <a:r>
            <a:rPr lang="id-ID" sz="700" b="0" i="0" strike="noStrike">
              <a:solidFill>
                <a:srgbClr val="000000"/>
              </a:solidFill>
              <a:latin typeface="Tahoma" panose="020B0604030504040204"/>
              <a:cs typeface="Tahoma" panose="020B0604030504040204"/>
            </a:rPr>
            <a:t>Catatan</a:t>
          </a:r>
          <a:r>
            <a:rPr lang="id-ID" sz="700" b="0" i="0" strike="noStrike" baseline="0">
              <a:solidFill>
                <a:srgbClr val="000000"/>
              </a:solidFill>
              <a:latin typeface="Tahoma" panose="020B0604030504040204"/>
              <a:cs typeface="Tahoma" panose="020B0604030504040204"/>
            </a:rPr>
            <a:t> atas Laporan Keuangan 2018</a:t>
          </a:r>
          <a:endParaRPr lang="en-US" sz="700" b="0" i="0" strike="noStrike">
            <a:solidFill>
              <a:srgbClr val="000000"/>
            </a:solidFill>
            <a:latin typeface="Tahoma" panose="020B0604030504040204"/>
            <a:cs typeface="Tahoma" panose="020B0604030504040204"/>
          </a:endParaRPr>
        </a:p>
      </xdr:txBody>
    </xdr:sp>
    <xdr:clientData/>
  </xdr:twoCellAnchor>
  <xdr:twoCellAnchor>
    <xdr:from>
      <xdr:col>2</xdr:col>
      <xdr:colOff>84667</xdr:colOff>
      <xdr:row>1</xdr:row>
      <xdr:rowOff>42333</xdr:rowOff>
    </xdr:from>
    <xdr:to>
      <xdr:col>3</xdr:col>
      <xdr:colOff>190500</xdr:colOff>
      <xdr:row>4</xdr:row>
      <xdr:rowOff>5291</xdr:rowOff>
    </xdr:to>
    <xdr:pic>
      <xdr:nvPicPr>
        <xdr:cNvPr id="5" name="Picture 424" descr="lambang daerah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22792" y="204258"/>
          <a:ext cx="391583" cy="5249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971550</xdr:colOff>
      <xdr:row>1</xdr:row>
      <xdr:rowOff>38100</xdr:rowOff>
    </xdr:from>
    <xdr:to>
      <xdr:col>10</xdr:col>
      <xdr:colOff>553604</xdr:colOff>
      <xdr:row>2</xdr:row>
      <xdr:rowOff>140600</xdr:rowOff>
    </xdr:to>
    <xdr:sp macro="" textlink="">
      <xdr:nvSpPr>
        <xdr:cNvPr id="6" name="Text Box 2"/>
        <xdr:cNvSpPr txBox="1">
          <a:spLocks noChangeArrowheads="1"/>
        </xdr:cNvSpPr>
      </xdr:nvSpPr>
      <xdr:spPr>
        <a:xfrm>
          <a:off x="8258175" y="200025"/>
          <a:ext cx="1553729" cy="302525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id-ID" sz="700" b="0" i="0" strike="noStrike">
              <a:solidFill>
                <a:srgbClr val="000000"/>
              </a:solidFill>
              <a:latin typeface="Tahoma" panose="020B0604030504040204"/>
              <a:cs typeface="Tahoma" panose="020B0604030504040204"/>
            </a:rPr>
            <a:t>LAMPIRAN</a:t>
          </a:r>
          <a:r>
            <a:rPr lang="id-ID" sz="700" b="0" i="0" strike="noStrike" baseline="0">
              <a:solidFill>
                <a:srgbClr val="000000"/>
              </a:solidFill>
              <a:latin typeface="Tahoma" panose="020B0604030504040204"/>
              <a:cs typeface="Tahoma" panose="020B0604030504040204"/>
            </a:rPr>
            <a:t> XIV</a:t>
          </a:r>
        </a:p>
        <a:p>
          <a:pPr algn="l" rtl="1">
            <a:defRPr sz="1000"/>
          </a:pPr>
          <a:r>
            <a:rPr lang="id-ID" sz="700" b="0" i="0" strike="noStrike">
              <a:solidFill>
                <a:srgbClr val="000000"/>
              </a:solidFill>
              <a:latin typeface="Tahoma" panose="020B0604030504040204"/>
              <a:cs typeface="Tahoma" panose="020B0604030504040204"/>
            </a:rPr>
            <a:t>Catatan</a:t>
          </a:r>
          <a:r>
            <a:rPr lang="id-ID" sz="700" b="0" i="0" strike="noStrike" baseline="0">
              <a:solidFill>
                <a:srgbClr val="000000"/>
              </a:solidFill>
              <a:latin typeface="Tahoma" panose="020B0604030504040204"/>
              <a:cs typeface="Tahoma" panose="020B0604030504040204"/>
            </a:rPr>
            <a:t> atas Laporan Keuangan 2018</a:t>
          </a:r>
          <a:endParaRPr lang="en-US" sz="700" b="0" i="0" strike="noStrike">
            <a:solidFill>
              <a:srgbClr val="000000"/>
            </a:solidFill>
            <a:latin typeface="Tahoma" panose="020B0604030504040204"/>
            <a:cs typeface="Tahoma" panose="020B0604030504040204"/>
          </a:endParaRP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257175</xdr:colOff>
      <xdr:row>0</xdr:row>
      <xdr:rowOff>0</xdr:rowOff>
    </xdr:from>
    <xdr:to>
      <xdr:col>2</xdr:col>
      <xdr:colOff>647700</xdr:colOff>
      <xdr:row>2</xdr:row>
      <xdr:rowOff>47625</xdr:rowOff>
    </xdr:to>
    <xdr:pic>
      <xdr:nvPicPr>
        <xdr:cNvPr id="2" name="Picture 424" descr="lambang daerah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57225" y="0"/>
          <a:ext cx="390525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921317</xdr:colOff>
      <xdr:row>0</xdr:row>
      <xdr:rowOff>135198</xdr:rowOff>
    </xdr:from>
    <xdr:to>
      <xdr:col>13</xdr:col>
      <xdr:colOff>503371</xdr:colOff>
      <xdr:row>2</xdr:row>
      <xdr:rowOff>113873</xdr:rowOff>
    </xdr:to>
    <xdr:sp macro="" textlink="">
      <xdr:nvSpPr>
        <xdr:cNvPr id="3" name="Text Box 2"/>
        <xdr:cNvSpPr txBox="1">
          <a:spLocks noChangeArrowheads="1"/>
        </xdr:cNvSpPr>
      </xdr:nvSpPr>
      <xdr:spPr>
        <a:xfrm>
          <a:off x="11864975" y="134620"/>
          <a:ext cx="1553845" cy="302895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id-ID" sz="700" b="0" i="0" strike="noStrike">
              <a:solidFill>
                <a:srgbClr val="000000"/>
              </a:solidFill>
              <a:latin typeface="Tahoma" panose="020B0604030504040204"/>
              <a:cs typeface="Tahoma" panose="020B0604030504040204"/>
            </a:rPr>
            <a:t>LAMPIRAN</a:t>
          </a:r>
          <a:r>
            <a:rPr lang="id-ID" sz="700" b="0" i="0" strike="noStrike" baseline="0">
              <a:solidFill>
                <a:srgbClr val="000000"/>
              </a:solidFill>
              <a:latin typeface="Tahoma" panose="020B0604030504040204"/>
              <a:cs typeface="Tahoma" panose="020B0604030504040204"/>
            </a:rPr>
            <a:t> XV</a:t>
          </a:r>
        </a:p>
        <a:p>
          <a:pPr algn="l" rtl="1">
            <a:defRPr sz="1000"/>
          </a:pPr>
          <a:r>
            <a:rPr lang="id-ID" sz="700" b="0" i="0" strike="noStrike">
              <a:solidFill>
                <a:srgbClr val="000000"/>
              </a:solidFill>
              <a:latin typeface="Tahoma" panose="020B0604030504040204"/>
              <a:cs typeface="Tahoma" panose="020B0604030504040204"/>
            </a:rPr>
            <a:t>Catatan</a:t>
          </a:r>
          <a:r>
            <a:rPr lang="id-ID" sz="700" b="0" i="0" strike="noStrike" baseline="0">
              <a:solidFill>
                <a:srgbClr val="000000"/>
              </a:solidFill>
              <a:latin typeface="Tahoma" panose="020B0604030504040204"/>
              <a:cs typeface="Tahoma" panose="020B0604030504040204"/>
            </a:rPr>
            <a:t> atas Laporan Keuangan 2018</a:t>
          </a:r>
          <a:endParaRPr lang="en-US" sz="700" b="0" i="0" strike="noStrike">
            <a:solidFill>
              <a:srgbClr val="000000"/>
            </a:solidFill>
            <a:latin typeface="Tahoma" panose="020B0604030504040204"/>
            <a:cs typeface="Tahoma" panose="020B0604030504040204"/>
          </a:endParaRP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1</xdr:row>
      <xdr:rowOff>11430</xdr:rowOff>
    </xdr:from>
    <xdr:to>
      <xdr:col>9</xdr:col>
      <xdr:colOff>611973</xdr:colOff>
      <xdr:row>1</xdr:row>
      <xdr:rowOff>8382</xdr:rowOff>
    </xdr:to>
    <xdr:sp macro="" textlink="">
      <xdr:nvSpPr>
        <xdr:cNvPr id="3" name="Text Box 2"/>
        <xdr:cNvSpPr txBox="1">
          <a:spLocks noChangeArrowheads="1"/>
        </xdr:cNvSpPr>
      </xdr:nvSpPr>
      <xdr:spPr>
        <a:xfrm>
          <a:off x="9791700" y="211455"/>
          <a:ext cx="611505" cy="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id-ID" sz="700" b="0" i="0" strike="noStrike">
              <a:solidFill>
                <a:srgbClr val="000000"/>
              </a:solidFill>
              <a:latin typeface="Tahoma" panose="020B0604030504040204"/>
              <a:cs typeface="Tahoma" panose="020B0604030504040204"/>
            </a:rPr>
            <a:t>LAMPIRAN</a:t>
          </a:r>
          <a:r>
            <a:rPr lang="id-ID" sz="700" b="0" i="0" strike="noStrike" baseline="0">
              <a:solidFill>
                <a:srgbClr val="000000"/>
              </a:solidFill>
              <a:latin typeface="Tahoma" panose="020B0604030504040204"/>
              <a:cs typeface="Tahoma" panose="020B0604030504040204"/>
            </a:rPr>
            <a:t> VIII</a:t>
          </a:r>
        </a:p>
        <a:p>
          <a:pPr algn="l" rtl="1">
            <a:defRPr sz="1000"/>
          </a:pPr>
          <a:r>
            <a:rPr lang="id-ID" sz="700" b="0" i="0" strike="noStrike">
              <a:solidFill>
                <a:srgbClr val="000000"/>
              </a:solidFill>
              <a:latin typeface="Tahoma" panose="020B0604030504040204"/>
              <a:cs typeface="Tahoma" panose="020B0604030504040204"/>
            </a:rPr>
            <a:t>Catatan</a:t>
          </a:r>
          <a:r>
            <a:rPr lang="id-ID" sz="700" b="0" i="0" strike="noStrike" baseline="0">
              <a:solidFill>
                <a:srgbClr val="000000"/>
              </a:solidFill>
              <a:latin typeface="Tahoma" panose="020B0604030504040204"/>
              <a:cs typeface="Tahoma" panose="020B0604030504040204"/>
            </a:rPr>
            <a:t> atas Laporan Keuangan 2014</a:t>
          </a:r>
          <a:endParaRPr lang="en-US" sz="700" b="0" i="0" strike="noStrike">
            <a:solidFill>
              <a:srgbClr val="000000"/>
            </a:solidFill>
            <a:latin typeface="Tahoma" panose="020B0604030504040204"/>
            <a:cs typeface="Tahoma" panose="020B0604030504040204"/>
          </a:endParaRPr>
        </a:p>
      </xdr:txBody>
    </xdr:sp>
    <xdr:clientData/>
  </xdr:twoCellAnchor>
  <xdr:twoCellAnchor editAs="oneCell">
    <xdr:from>
      <xdr:col>6</xdr:col>
      <xdr:colOff>735965</xdr:colOff>
      <xdr:row>1</xdr:row>
      <xdr:rowOff>14605</xdr:rowOff>
    </xdr:from>
    <xdr:to>
      <xdr:col>9</xdr:col>
      <xdr:colOff>423669</xdr:colOff>
      <xdr:row>1</xdr:row>
      <xdr:rowOff>35560</xdr:rowOff>
    </xdr:to>
    <xdr:sp macro="" textlink="">
      <xdr:nvSpPr>
        <xdr:cNvPr id="4" name="Text Box 2"/>
        <xdr:cNvSpPr txBox="1">
          <a:spLocks noChangeArrowheads="1"/>
        </xdr:cNvSpPr>
      </xdr:nvSpPr>
      <xdr:spPr>
        <a:xfrm>
          <a:off x="7127240" y="214630"/>
          <a:ext cx="2278380" cy="635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id-ID" sz="700" b="0" i="0" strike="noStrike">
              <a:solidFill>
                <a:srgbClr val="000000"/>
              </a:solidFill>
              <a:latin typeface="Tahoma" panose="020B0604030504040204"/>
              <a:cs typeface="Tahoma" panose="020B0604030504040204"/>
            </a:rPr>
            <a:t>LAMPIRAN</a:t>
          </a:r>
          <a:r>
            <a:rPr lang="id-ID" sz="700" b="0" i="0" strike="noStrike" baseline="0">
              <a:solidFill>
                <a:srgbClr val="000000"/>
              </a:solidFill>
              <a:latin typeface="Tahoma" panose="020B0604030504040204"/>
              <a:cs typeface="Tahoma" panose="020B0604030504040204"/>
            </a:rPr>
            <a:t> XVIII</a:t>
          </a:r>
        </a:p>
        <a:p>
          <a:pPr algn="l" rtl="1">
            <a:defRPr sz="1000"/>
          </a:pPr>
          <a:r>
            <a:rPr lang="id-ID" sz="700" b="0" i="0" strike="noStrike">
              <a:solidFill>
                <a:srgbClr val="000000"/>
              </a:solidFill>
              <a:latin typeface="Tahoma" panose="020B0604030504040204"/>
              <a:cs typeface="Tahoma" panose="020B0604030504040204"/>
            </a:rPr>
            <a:t>Catatan</a:t>
          </a:r>
          <a:r>
            <a:rPr lang="id-ID" sz="700" b="0" i="0" strike="noStrike" baseline="0">
              <a:solidFill>
                <a:srgbClr val="000000"/>
              </a:solidFill>
              <a:latin typeface="Tahoma" panose="020B0604030504040204"/>
              <a:cs typeface="Tahoma" panose="020B0604030504040204"/>
            </a:rPr>
            <a:t> atas Laporan Keuangan 2015</a:t>
          </a:r>
          <a:endParaRPr lang="en-US" sz="700" b="0" i="0" strike="noStrike">
            <a:solidFill>
              <a:srgbClr val="000000"/>
            </a:solidFill>
            <a:latin typeface="Tahoma" panose="020B0604030504040204"/>
            <a:cs typeface="Tahoma" panose="020B0604030504040204"/>
          </a:endParaRPr>
        </a:p>
      </xdr:txBody>
    </xdr:sp>
    <xdr:clientData/>
  </xdr:twoCellAnchor>
  <xdr:twoCellAnchor editAs="oneCell">
    <xdr:from>
      <xdr:col>6</xdr:col>
      <xdr:colOff>363220</xdr:colOff>
      <xdr:row>0</xdr:row>
      <xdr:rowOff>0</xdr:rowOff>
    </xdr:from>
    <xdr:to>
      <xdr:col>8</xdr:col>
      <xdr:colOff>674975</xdr:colOff>
      <xdr:row>0</xdr:row>
      <xdr:rowOff>13817</xdr:rowOff>
    </xdr:to>
    <xdr:sp macro="" textlink="">
      <xdr:nvSpPr>
        <xdr:cNvPr id="5" name="Text Box 2"/>
        <xdr:cNvSpPr txBox="1">
          <a:spLocks noChangeArrowheads="1"/>
        </xdr:cNvSpPr>
      </xdr:nvSpPr>
      <xdr:spPr>
        <a:xfrm>
          <a:off x="6754495" y="0"/>
          <a:ext cx="1978025" cy="13335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id-ID" sz="700" b="0" i="0" strike="noStrike">
              <a:solidFill>
                <a:srgbClr val="000000"/>
              </a:solidFill>
              <a:latin typeface="Tahoma" panose="020B0604030504040204"/>
              <a:cs typeface="Tahoma" panose="020B0604030504040204"/>
            </a:rPr>
            <a:t>LAMPIRAN</a:t>
          </a:r>
          <a:r>
            <a:rPr lang="id-ID" sz="700" b="0" i="0" strike="noStrike" baseline="0">
              <a:solidFill>
                <a:srgbClr val="000000"/>
              </a:solidFill>
              <a:latin typeface="Tahoma" panose="020B0604030504040204"/>
              <a:cs typeface="Tahoma" panose="020B0604030504040204"/>
            </a:rPr>
            <a:t> XVIII</a:t>
          </a:r>
        </a:p>
        <a:p>
          <a:pPr algn="l" rtl="1">
            <a:defRPr sz="1000"/>
          </a:pPr>
          <a:r>
            <a:rPr lang="id-ID" sz="700" b="0" i="0" strike="noStrike">
              <a:solidFill>
                <a:srgbClr val="000000"/>
              </a:solidFill>
              <a:latin typeface="Tahoma" panose="020B0604030504040204"/>
              <a:cs typeface="Tahoma" panose="020B0604030504040204"/>
            </a:rPr>
            <a:t>Catatan</a:t>
          </a:r>
          <a:r>
            <a:rPr lang="id-ID" sz="700" b="0" i="0" strike="noStrike" baseline="0">
              <a:solidFill>
                <a:srgbClr val="000000"/>
              </a:solidFill>
              <a:latin typeface="Tahoma" panose="020B0604030504040204"/>
              <a:cs typeface="Tahoma" panose="020B0604030504040204"/>
            </a:rPr>
            <a:t> atas Laporan Keuangan 2016</a:t>
          </a:r>
          <a:endParaRPr lang="en-US" sz="700" b="0" i="0" strike="noStrike">
            <a:solidFill>
              <a:srgbClr val="000000"/>
            </a:solidFill>
            <a:latin typeface="Tahoma" panose="020B0604030504040204"/>
            <a:cs typeface="Tahoma" panose="020B0604030504040204"/>
          </a:endParaRPr>
        </a:p>
      </xdr:txBody>
    </xdr:sp>
    <xdr:clientData/>
  </xdr:twoCellAnchor>
  <xdr:twoCellAnchor editAs="oneCell">
    <xdr:from>
      <xdr:col>7</xdr:col>
      <xdr:colOff>589915</xdr:colOff>
      <xdr:row>0</xdr:row>
      <xdr:rowOff>163830</xdr:rowOff>
    </xdr:from>
    <xdr:to>
      <xdr:col>9</xdr:col>
      <xdr:colOff>686506</xdr:colOff>
      <xdr:row>0</xdr:row>
      <xdr:rowOff>156890</xdr:rowOff>
    </xdr:to>
    <xdr:sp macro="" textlink="">
      <xdr:nvSpPr>
        <xdr:cNvPr id="6" name="Text Box 2"/>
        <xdr:cNvSpPr txBox="1">
          <a:spLocks noChangeArrowheads="1"/>
        </xdr:cNvSpPr>
      </xdr:nvSpPr>
      <xdr:spPr>
        <a:xfrm>
          <a:off x="7924165" y="163830"/>
          <a:ext cx="1858645" cy="42545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id-ID" sz="700" b="0" i="0" strike="noStrike">
              <a:solidFill>
                <a:srgbClr val="000000"/>
              </a:solidFill>
              <a:latin typeface="Tahoma" panose="020B0604030504040204"/>
              <a:cs typeface="Tahoma" panose="020B0604030504040204"/>
            </a:rPr>
            <a:t>LAMPIRAN</a:t>
          </a:r>
          <a:r>
            <a:rPr lang="id-ID" sz="700" b="0" i="0" strike="noStrike" baseline="0">
              <a:solidFill>
                <a:srgbClr val="000000"/>
              </a:solidFill>
              <a:latin typeface="Tahoma" panose="020B0604030504040204"/>
              <a:cs typeface="Tahoma" panose="020B0604030504040204"/>
            </a:rPr>
            <a:t> XIII</a:t>
          </a:r>
        </a:p>
        <a:p>
          <a:pPr algn="l" rtl="1">
            <a:defRPr sz="1000"/>
          </a:pPr>
          <a:r>
            <a:rPr lang="id-ID" sz="700" b="0" i="0" strike="noStrike">
              <a:solidFill>
                <a:srgbClr val="000000"/>
              </a:solidFill>
              <a:latin typeface="Tahoma" panose="020B0604030504040204"/>
              <a:cs typeface="Tahoma" panose="020B0604030504040204"/>
            </a:rPr>
            <a:t>Catatan</a:t>
          </a:r>
          <a:r>
            <a:rPr lang="id-ID" sz="700" b="0" i="0" strike="noStrike" baseline="0">
              <a:solidFill>
                <a:srgbClr val="000000"/>
              </a:solidFill>
              <a:latin typeface="Tahoma" panose="020B0604030504040204"/>
              <a:cs typeface="Tahoma" panose="020B0604030504040204"/>
            </a:rPr>
            <a:t> atas Laporan Keuangan 2017</a:t>
          </a:r>
          <a:endParaRPr lang="en-US" sz="700" b="0" i="0" strike="noStrike">
            <a:solidFill>
              <a:srgbClr val="000000"/>
            </a:solidFill>
            <a:latin typeface="Tahoma" panose="020B0604030504040204"/>
            <a:cs typeface="Tahoma" panose="020B0604030504040204"/>
          </a:endParaRPr>
        </a:p>
      </xdr:txBody>
    </xdr:sp>
    <xdr:clientData/>
  </xdr:twoCellAnchor>
  <xdr:twoCellAnchor editAs="oneCell">
    <xdr:from>
      <xdr:col>7</xdr:col>
      <xdr:colOff>809625</xdr:colOff>
      <xdr:row>2</xdr:row>
      <xdr:rowOff>19050</xdr:rowOff>
    </xdr:from>
    <xdr:to>
      <xdr:col>9</xdr:col>
      <xdr:colOff>895958</xdr:colOff>
      <xdr:row>2</xdr:row>
      <xdr:rowOff>18941</xdr:rowOff>
    </xdr:to>
    <xdr:sp macro="" textlink="">
      <xdr:nvSpPr>
        <xdr:cNvPr id="7" name="Text Box 2"/>
        <xdr:cNvSpPr txBox="1">
          <a:spLocks noChangeArrowheads="1"/>
        </xdr:cNvSpPr>
      </xdr:nvSpPr>
      <xdr:spPr>
        <a:xfrm>
          <a:off x="8562975" y="419100"/>
          <a:ext cx="1586602" cy="333375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id-ID" sz="700" b="0" i="0" strike="noStrike">
              <a:solidFill>
                <a:srgbClr val="000000"/>
              </a:solidFill>
              <a:latin typeface="Tahoma" panose="020B0604030504040204"/>
              <a:cs typeface="Tahoma" panose="020B0604030504040204"/>
            </a:rPr>
            <a:t>LAMPIRAN</a:t>
          </a:r>
          <a:r>
            <a:rPr lang="id-ID" sz="700" b="0" i="0" strike="noStrike" baseline="0">
              <a:solidFill>
                <a:srgbClr val="000000"/>
              </a:solidFill>
              <a:latin typeface="Tahoma" panose="020B0604030504040204"/>
              <a:cs typeface="Tahoma" panose="020B0604030504040204"/>
            </a:rPr>
            <a:t> XVI</a:t>
          </a:r>
        </a:p>
        <a:p>
          <a:pPr algn="l" rtl="1">
            <a:defRPr sz="1000"/>
          </a:pPr>
          <a:r>
            <a:rPr lang="id-ID" sz="700" b="0" i="0" strike="noStrike">
              <a:solidFill>
                <a:srgbClr val="000000"/>
              </a:solidFill>
              <a:latin typeface="Tahoma" panose="020B0604030504040204"/>
              <a:cs typeface="Tahoma" panose="020B0604030504040204"/>
            </a:rPr>
            <a:t>Catatan</a:t>
          </a:r>
          <a:r>
            <a:rPr lang="id-ID" sz="700" b="0" i="0" strike="noStrike" baseline="0">
              <a:solidFill>
                <a:srgbClr val="000000"/>
              </a:solidFill>
              <a:latin typeface="Tahoma" panose="020B0604030504040204"/>
              <a:cs typeface="Tahoma" panose="020B0604030504040204"/>
            </a:rPr>
            <a:t> atas Laporan Keuangan 2018</a:t>
          </a:r>
          <a:endParaRPr lang="en-US" sz="700" b="0" i="0" strike="noStrike">
            <a:solidFill>
              <a:srgbClr val="000000"/>
            </a:solidFill>
            <a:latin typeface="Tahoma" panose="020B0604030504040204"/>
            <a:cs typeface="Tahoma" panose="020B0604030504040204"/>
          </a:endParaRPr>
        </a:p>
      </xdr:txBody>
    </xdr:sp>
    <xdr:clientData/>
  </xdr:twoCellAnchor>
  <xdr:twoCellAnchor>
    <xdr:from>
      <xdr:col>2</xdr:col>
      <xdr:colOff>57150</xdr:colOff>
      <xdr:row>1</xdr:row>
      <xdr:rowOff>38100</xdr:rowOff>
    </xdr:from>
    <xdr:to>
      <xdr:col>3</xdr:col>
      <xdr:colOff>247650</xdr:colOff>
      <xdr:row>3</xdr:row>
      <xdr:rowOff>161925</xdr:rowOff>
    </xdr:to>
    <xdr:pic>
      <xdr:nvPicPr>
        <xdr:cNvPr id="8" name="Picture 424" descr="lambang daerah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14350" y="238125"/>
          <a:ext cx="409575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742950</xdr:colOff>
      <xdr:row>0</xdr:row>
      <xdr:rowOff>85725</xdr:rowOff>
    </xdr:from>
    <xdr:to>
      <xdr:col>19</xdr:col>
      <xdr:colOff>484240</xdr:colOff>
      <xdr:row>0</xdr:row>
      <xdr:rowOff>85090</xdr:rowOff>
    </xdr:to>
    <xdr:sp macro="" textlink="">
      <xdr:nvSpPr>
        <xdr:cNvPr id="3" name="Text Box 2"/>
        <xdr:cNvSpPr txBox="1">
          <a:spLocks noChangeArrowheads="1"/>
        </xdr:cNvSpPr>
      </xdr:nvSpPr>
      <xdr:spPr>
        <a:xfrm>
          <a:off x="17116425" y="85725"/>
          <a:ext cx="1543685" cy="276225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id-ID" sz="700" b="0" i="0" strike="noStrike">
              <a:solidFill>
                <a:srgbClr val="000000"/>
              </a:solidFill>
              <a:latin typeface="Tahoma" panose="020B0604030504040204"/>
              <a:cs typeface="Tahoma" panose="020B0604030504040204"/>
            </a:rPr>
            <a:t>LAMPIRAN</a:t>
          </a:r>
          <a:r>
            <a:rPr lang="id-ID" sz="700" b="0" i="0" strike="noStrike" baseline="0">
              <a:solidFill>
                <a:srgbClr val="000000"/>
              </a:solidFill>
              <a:latin typeface="Tahoma" panose="020B0604030504040204"/>
              <a:cs typeface="Tahoma" panose="020B0604030504040204"/>
            </a:rPr>
            <a:t> X</a:t>
          </a:r>
          <a:r>
            <a:rPr lang="en-ID" sz="700" b="0" i="0" strike="noStrike" baseline="0">
              <a:solidFill>
                <a:srgbClr val="000000"/>
              </a:solidFill>
              <a:latin typeface="Tahoma" panose="020B0604030504040204"/>
              <a:cs typeface="Tahoma" panose="020B0604030504040204"/>
            </a:rPr>
            <a:t>V</a:t>
          </a:r>
          <a:r>
            <a:rPr lang="id-ID" sz="700" b="0" i="0" strike="noStrike" baseline="0">
              <a:solidFill>
                <a:srgbClr val="000000"/>
              </a:solidFill>
              <a:latin typeface="Tahoma" panose="020B0604030504040204"/>
              <a:cs typeface="Tahoma" panose="020B0604030504040204"/>
            </a:rPr>
            <a:t>II</a:t>
          </a:r>
        </a:p>
        <a:p>
          <a:pPr algn="l" rtl="1">
            <a:defRPr sz="1000"/>
          </a:pPr>
          <a:r>
            <a:rPr lang="id-ID" sz="700" b="0" i="0" strike="noStrike">
              <a:solidFill>
                <a:srgbClr val="000000"/>
              </a:solidFill>
              <a:latin typeface="Tahoma" panose="020B0604030504040204"/>
              <a:cs typeface="Tahoma" panose="020B0604030504040204"/>
            </a:rPr>
            <a:t>Catatan</a:t>
          </a:r>
          <a:r>
            <a:rPr lang="id-ID" sz="700" b="0" i="0" strike="noStrike" baseline="0">
              <a:solidFill>
                <a:srgbClr val="000000"/>
              </a:solidFill>
              <a:latin typeface="Tahoma" panose="020B0604030504040204"/>
              <a:cs typeface="Tahoma" panose="020B0604030504040204"/>
            </a:rPr>
            <a:t> atas Laporan Keuangan 2018</a:t>
          </a:r>
          <a:endParaRPr lang="en-US" sz="700" b="0" i="0" strike="noStrike">
            <a:solidFill>
              <a:srgbClr val="000000"/>
            </a:solidFill>
            <a:latin typeface="Tahoma" panose="020B0604030504040204"/>
            <a:cs typeface="Tahoma" panose="020B0604030504040204"/>
          </a:endParaRPr>
        </a:p>
      </xdr:txBody>
    </xdr:sp>
    <xdr:clientData/>
  </xdr:twoCellAnchor>
  <xdr:twoCellAnchor>
    <xdr:from>
      <xdr:col>2</xdr:col>
      <xdr:colOff>295275</xdr:colOff>
      <xdr:row>0</xdr:row>
      <xdr:rowOff>47625</xdr:rowOff>
    </xdr:from>
    <xdr:to>
      <xdr:col>2</xdr:col>
      <xdr:colOff>704850</xdr:colOff>
      <xdr:row>3</xdr:row>
      <xdr:rowOff>57150</xdr:rowOff>
    </xdr:to>
    <xdr:pic>
      <xdr:nvPicPr>
        <xdr:cNvPr id="4" name="Picture 424" descr="lambang daerah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857250" y="47625"/>
          <a:ext cx="409575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828675</xdr:colOff>
      <xdr:row>0</xdr:row>
      <xdr:rowOff>95250</xdr:rowOff>
    </xdr:from>
    <xdr:to>
      <xdr:col>17</xdr:col>
      <xdr:colOff>547996</xdr:colOff>
      <xdr:row>0</xdr:row>
      <xdr:rowOff>92466</xdr:rowOff>
    </xdr:to>
    <xdr:sp macro="" textlink="">
      <xdr:nvSpPr>
        <xdr:cNvPr id="5" name="Text Box 2"/>
        <xdr:cNvSpPr txBox="1">
          <a:spLocks noChangeArrowheads="1"/>
        </xdr:cNvSpPr>
      </xdr:nvSpPr>
      <xdr:spPr>
        <a:xfrm>
          <a:off x="13830300" y="95250"/>
          <a:ext cx="1543930" cy="276225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id-ID" sz="700" b="0" i="0" strike="noStrike">
              <a:solidFill>
                <a:srgbClr val="000000"/>
              </a:solidFill>
              <a:latin typeface="Tahoma" panose="020B0604030504040204"/>
              <a:cs typeface="Tahoma" panose="020B0604030504040204"/>
            </a:rPr>
            <a:t>LAMPIRAN</a:t>
          </a:r>
          <a:r>
            <a:rPr lang="id-ID" sz="700" b="0" i="0" strike="noStrike" baseline="0">
              <a:solidFill>
                <a:srgbClr val="000000"/>
              </a:solidFill>
              <a:latin typeface="Tahoma" panose="020B0604030504040204"/>
              <a:cs typeface="Tahoma" panose="020B0604030504040204"/>
            </a:rPr>
            <a:t> XVII</a:t>
          </a:r>
        </a:p>
        <a:p>
          <a:pPr algn="l" rtl="1">
            <a:defRPr sz="1000"/>
          </a:pPr>
          <a:r>
            <a:rPr lang="id-ID" sz="700" b="0" i="0" strike="noStrike">
              <a:solidFill>
                <a:srgbClr val="000000"/>
              </a:solidFill>
              <a:latin typeface="Tahoma" panose="020B0604030504040204"/>
              <a:cs typeface="Tahoma" panose="020B0604030504040204"/>
            </a:rPr>
            <a:t>Catatan</a:t>
          </a:r>
          <a:r>
            <a:rPr lang="id-ID" sz="700" b="0" i="0" strike="noStrike" baseline="0">
              <a:solidFill>
                <a:srgbClr val="000000"/>
              </a:solidFill>
              <a:latin typeface="Tahoma" panose="020B0604030504040204"/>
              <a:cs typeface="Tahoma" panose="020B0604030504040204"/>
            </a:rPr>
            <a:t> atas Laporan Keuangan 2018</a:t>
          </a:r>
          <a:endParaRPr lang="en-US" sz="700" b="0" i="0" strike="noStrike">
            <a:solidFill>
              <a:srgbClr val="000000"/>
            </a:solidFill>
            <a:latin typeface="Tahoma" panose="020B0604030504040204"/>
            <a:cs typeface="Tahoma" panose="020B0604030504040204"/>
          </a:endParaRPr>
        </a:p>
      </xdr:txBody>
    </xdr:sp>
    <xdr:clientData/>
  </xdr:twoCellAnchor>
  <xdr:twoCellAnchor editAs="oneCell">
    <xdr:from>
      <xdr:col>15</xdr:col>
      <xdr:colOff>885825</xdr:colOff>
      <xdr:row>0</xdr:row>
      <xdr:rowOff>104775</xdr:rowOff>
    </xdr:from>
    <xdr:to>
      <xdr:col>17</xdr:col>
      <xdr:colOff>477128</xdr:colOff>
      <xdr:row>2</xdr:row>
      <xdr:rowOff>38100</xdr:rowOff>
    </xdr:to>
    <xdr:sp macro="" textlink="">
      <xdr:nvSpPr>
        <xdr:cNvPr id="6" name="Text Box 2"/>
        <xdr:cNvSpPr txBox="1">
          <a:spLocks noChangeArrowheads="1"/>
        </xdr:cNvSpPr>
      </xdr:nvSpPr>
      <xdr:spPr>
        <a:xfrm>
          <a:off x="13668375" y="104775"/>
          <a:ext cx="1543928" cy="276225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id-ID" sz="700" b="0" i="0" strike="noStrike">
              <a:solidFill>
                <a:srgbClr val="000000"/>
              </a:solidFill>
              <a:latin typeface="Tahoma" panose="020B0604030504040204"/>
              <a:cs typeface="Tahoma" panose="020B0604030504040204"/>
            </a:rPr>
            <a:t>LAMPIRAN</a:t>
          </a:r>
          <a:r>
            <a:rPr lang="id-ID" sz="700" b="0" i="0" strike="noStrike" baseline="0">
              <a:solidFill>
                <a:srgbClr val="000000"/>
              </a:solidFill>
              <a:latin typeface="Tahoma" panose="020B0604030504040204"/>
              <a:cs typeface="Tahoma" panose="020B0604030504040204"/>
            </a:rPr>
            <a:t> X</a:t>
          </a:r>
          <a:r>
            <a:rPr lang="en-ID" sz="700" b="0" i="0" strike="noStrike" baseline="0">
              <a:solidFill>
                <a:srgbClr val="000000"/>
              </a:solidFill>
              <a:latin typeface="Tahoma" panose="020B0604030504040204"/>
              <a:cs typeface="Tahoma" panose="020B0604030504040204"/>
            </a:rPr>
            <a:t>V</a:t>
          </a:r>
          <a:r>
            <a:rPr lang="id-ID" sz="700" b="0" i="0" strike="noStrike" baseline="0">
              <a:solidFill>
                <a:srgbClr val="000000"/>
              </a:solidFill>
              <a:latin typeface="Tahoma" panose="020B0604030504040204"/>
              <a:cs typeface="Tahoma" panose="020B0604030504040204"/>
            </a:rPr>
            <a:t>II</a:t>
          </a:r>
        </a:p>
        <a:p>
          <a:pPr algn="l" rtl="1">
            <a:defRPr sz="1000"/>
          </a:pPr>
          <a:r>
            <a:rPr lang="id-ID" sz="700" b="0" i="0" strike="noStrike">
              <a:solidFill>
                <a:srgbClr val="000000"/>
              </a:solidFill>
              <a:latin typeface="Tahoma" panose="020B0604030504040204"/>
              <a:cs typeface="Tahoma" panose="020B0604030504040204"/>
            </a:rPr>
            <a:t>Catatan</a:t>
          </a:r>
          <a:r>
            <a:rPr lang="id-ID" sz="700" b="0" i="0" strike="noStrike" baseline="0">
              <a:solidFill>
                <a:srgbClr val="000000"/>
              </a:solidFill>
              <a:latin typeface="Tahoma" panose="020B0604030504040204"/>
              <a:cs typeface="Tahoma" panose="020B0604030504040204"/>
            </a:rPr>
            <a:t> atas Laporan Keuangan 2018</a:t>
          </a:r>
          <a:endParaRPr lang="en-US" sz="700" b="0" i="0" strike="noStrike">
            <a:solidFill>
              <a:srgbClr val="000000"/>
            </a:solidFill>
            <a:latin typeface="Tahoma" panose="020B0604030504040204"/>
            <a:cs typeface="Tahoma" panose="020B0604030504040204"/>
          </a:endParaRP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0</xdr:row>
      <xdr:rowOff>0</xdr:rowOff>
    </xdr:from>
    <xdr:to>
      <xdr:col>7</xdr:col>
      <xdr:colOff>234856</xdr:colOff>
      <xdr:row>0</xdr:row>
      <xdr:rowOff>21054</xdr:rowOff>
    </xdr:to>
    <xdr:sp macro="" textlink="">
      <xdr:nvSpPr>
        <xdr:cNvPr id="3" name="Text Box 2"/>
        <xdr:cNvSpPr txBox="1">
          <a:spLocks noChangeArrowheads="1"/>
        </xdr:cNvSpPr>
      </xdr:nvSpPr>
      <xdr:spPr>
        <a:xfrm>
          <a:off x="10420350" y="0"/>
          <a:ext cx="1530254" cy="21054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id-ID" sz="700" b="0" i="0" strike="noStrike">
              <a:solidFill>
                <a:srgbClr val="000000"/>
              </a:solidFill>
              <a:latin typeface="Tahoma" panose="020B0604030504040204"/>
              <a:cs typeface="Tahoma" panose="020B0604030504040204"/>
            </a:rPr>
            <a:t>LAMPIRAN</a:t>
          </a:r>
          <a:r>
            <a:rPr lang="id-ID" sz="700" b="0" i="0" strike="noStrike" baseline="0">
              <a:solidFill>
                <a:srgbClr val="000000"/>
              </a:solidFill>
              <a:latin typeface="Tahoma" panose="020B0604030504040204"/>
              <a:cs typeface="Tahoma" panose="020B0604030504040204"/>
            </a:rPr>
            <a:t> XXIX</a:t>
          </a:r>
        </a:p>
        <a:p>
          <a:pPr algn="l" rtl="1">
            <a:defRPr sz="1000"/>
          </a:pPr>
          <a:r>
            <a:rPr lang="id-ID" sz="700" b="0" i="0" strike="noStrike">
              <a:solidFill>
                <a:srgbClr val="000000"/>
              </a:solidFill>
              <a:latin typeface="Tahoma" panose="020B0604030504040204"/>
              <a:cs typeface="Tahoma" panose="020B0604030504040204"/>
            </a:rPr>
            <a:t>Catatan</a:t>
          </a:r>
          <a:r>
            <a:rPr lang="id-ID" sz="700" b="0" i="0" strike="noStrike" baseline="0">
              <a:solidFill>
                <a:srgbClr val="000000"/>
              </a:solidFill>
              <a:latin typeface="Tahoma" panose="020B0604030504040204"/>
              <a:cs typeface="Tahoma" panose="020B0604030504040204"/>
            </a:rPr>
            <a:t> atas Laporan Keuangan 2016</a:t>
          </a:r>
          <a:endParaRPr lang="en-US" sz="700" b="0" i="0" strike="noStrike">
            <a:solidFill>
              <a:srgbClr val="000000"/>
            </a:solidFill>
            <a:latin typeface="Tahoma" panose="020B0604030504040204"/>
            <a:cs typeface="Tahoma" panose="020B0604030504040204"/>
          </a:endParaRPr>
        </a:p>
      </xdr:txBody>
    </xdr:sp>
    <xdr:clientData/>
  </xdr:twoCellAnchor>
  <xdr:twoCellAnchor editAs="oneCell">
    <xdr:from>
      <xdr:col>5</xdr:col>
      <xdr:colOff>624416</xdr:colOff>
      <xdr:row>0</xdr:row>
      <xdr:rowOff>116416</xdr:rowOff>
    </xdr:from>
    <xdr:to>
      <xdr:col>6</xdr:col>
      <xdr:colOff>1060057</xdr:colOff>
      <xdr:row>2</xdr:row>
      <xdr:rowOff>148166</xdr:rowOff>
    </xdr:to>
    <xdr:sp macro="" textlink="">
      <xdr:nvSpPr>
        <xdr:cNvPr id="5" name="Text Box 2"/>
        <xdr:cNvSpPr txBox="1">
          <a:spLocks noChangeArrowheads="1"/>
        </xdr:cNvSpPr>
      </xdr:nvSpPr>
      <xdr:spPr>
        <a:xfrm>
          <a:off x="8826499" y="116416"/>
          <a:ext cx="1726808" cy="359833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id-ID" sz="700" b="0" i="0" strike="noStrike">
              <a:solidFill>
                <a:srgbClr val="000000"/>
              </a:solidFill>
              <a:latin typeface="Tahoma" panose="020B0604030504040204"/>
              <a:cs typeface="Tahoma" panose="020B0604030504040204"/>
            </a:rPr>
            <a:t>LAMPIRAN</a:t>
          </a:r>
          <a:r>
            <a:rPr lang="id-ID" sz="700" b="0" i="0" strike="noStrike" baseline="0">
              <a:solidFill>
                <a:srgbClr val="000000"/>
              </a:solidFill>
              <a:latin typeface="Tahoma" panose="020B0604030504040204"/>
              <a:cs typeface="Tahoma" panose="020B0604030504040204"/>
            </a:rPr>
            <a:t> X</a:t>
          </a:r>
          <a:r>
            <a:rPr lang="en-ID" sz="700" b="0" i="0" strike="noStrike" baseline="0">
              <a:solidFill>
                <a:srgbClr val="000000"/>
              </a:solidFill>
              <a:latin typeface="Tahoma" panose="020B0604030504040204"/>
              <a:cs typeface="Tahoma" panose="020B0604030504040204"/>
            </a:rPr>
            <a:t>V</a:t>
          </a:r>
          <a:r>
            <a:rPr lang="id-ID" sz="700" b="0" i="0" strike="noStrike" baseline="0">
              <a:solidFill>
                <a:srgbClr val="000000"/>
              </a:solidFill>
              <a:latin typeface="Tahoma" panose="020B0604030504040204"/>
              <a:cs typeface="Tahoma" panose="020B0604030504040204"/>
            </a:rPr>
            <a:t>III</a:t>
          </a:r>
        </a:p>
        <a:p>
          <a:pPr algn="l" rtl="1">
            <a:defRPr sz="1000"/>
          </a:pPr>
          <a:r>
            <a:rPr lang="id-ID" sz="700" b="0" i="0" strike="noStrike">
              <a:solidFill>
                <a:srgbClr val="000000"/>
              </a:solidFill>
              <a:latin typeface="Tahoma" panose="020B0604030504040204"/>
              <a:cs typeface="Tahoma" panose="020B0604030504040204"/>
            </a:rPr>
            <a:t>Catatan</a:t>
          </a:r>
          <a:r>
            <a:rPr lang="id-ID" sz="700" b="0" i="0" strike="noStrike" baseline="0">
              <a:solidFill>
                <a:srgbClr val="000000"/>
              </a:solidFill>
              <a:latin typeface="Tahoma" panose="020B0604030504040204"/>
              <a:cs typeface="Tahoma" panose="020B0604030504040204"/>
            </a:rPr>
            <a:t> atas Laporan Keuangan 2018</a:t>
          </a:r>
          <a:endParaRPr lang="en-US" sz="700" b="0" i="0" strike="noStrike">
            <a:solidFill>
              <a:srgbClr val="000000"/>
            </a:solidFill>
            <a:latin typeface="Tahoma" panose="020B0604030504040204"/>
            <a:cs typeface="Tahoma" panose="020B0604030504040204"/>
          </a:endParaRPr>
        </a:p>
      </xdr:txBody>
    </xdr:sp>
    <xdr:clientData/>
  </xdr:twoCellAnchor>
  <xdr:twoCellAnchor>
    <xdr:from>
      <xdr:col>2</xdr:col>
      <xdr:colOff>148167</xdr:colOff>
      <xdr:row>0</xdr:row>
      <xdr:rowOff>52917</xdr:rowOff>
    </xdr:from>
    <xdr:to>
      <xdr:col>2</xdr:col>
      <xdr:colOff>525991</xdr:colOff>
      <xdr:row>3</xdr:row>
      <xdr:rowOff>63500</xdr:rowOff>
    </xdr:to>
    <xdr:pic>
      <xdr:nvPicPr>
        <xdr:cNvPr id="6" name="Picture 424" descr="lambang daerah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60917" y="52917"/>
          <a:ext cx="377824" cy="4974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3175</xdr:colOff>
      <xdr:row>0</xdr:row>
      <xdr:rowOff>9525</xdr:rowOff>
    </xdr:from>
    <xdr:to>
      <xdr:col>8</xdr:col>
      <xdr:colOff>138693</xdr:colOff>
      <xdr:row>0</xdr:row>
      <xdr:rowOff>24003</xdr:rowOff>
    </xdr:to>
    <xdr:sp macro="" textlink="">
      <xdr:nvSpPr>
        <xdr:cNvPr id="2" name="Text Box 2"/>
        <xdr:cNvSpPr txBox="1">
          <a:spLocks noChangeArrowheads="1"/>
        </xdr:cNvSpPr>
      </xdr:nvSpPr>
      <xdr:spPr>
        <a:xfrm>
          <a:off x="4098925" y="9525"/>
          <a:ext cx="2162175" cy="1397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id-ID" sz="700" b="0" i="0" strike="noStrike">
              <a:solidFill>
                <a:srgbClr val="000000"/>
              </a:solidFill>
              <a:latin typeface="Tahoma" panose="020B0604030504040204"/>
              <a:cs typeface="Tahoma" panose="020B0604030504040204"/>
            </a:rPr>
            <a:t>LAMPIRAN</a:t>
          </a:r>
          <a:r>
            <a:rPr lang="id-ID" sz="700" b="0" i="0" strike="noStrike" baseline="0">
              <a:solidFill>
                <a:srgbClr val="000000"/>
              </a:solidFill>
              <a:latin typeface="Tahoma" panose="020B0604030504040204"/>
              <a:cs typeface="Tahoma" panose="020B0604030504040204"/>
            </a:rPr>
            <a:t> VI</a:t>
          </a:r>
        </a:p>
        <a:p>
          <a:pPr algn="l" rtl="1">
            <a:defRPr sz="1000"/>
          </a:pPr>
          <a:r>
            <a:rPr lang="id-ID" sz="700" b="0" i="0" strike="noStrike">
              <a:solidFill>
                <a:srgbClr val="000000"/>
              </a:solidFill>
              <a:latin typeface="Tahoma" panose="020B0604030504040204"/>
              <a:cs typeface="Tahoma" panose="020B0604030504040204"/>
            </a:rPr>
            <a:t>Catatan</a:t>
          </a:r>
          <a:r>
            <a:rPr lang="id-ID" sz="700" b="0" i="0" strike="noStrike" baseline="0">
              <a:solidFill>
                <a:srgbClr val="000000"/>
              </a:solidFill>
              <a:latin typeface="Tahoma" panose="020B0604030504040204"/>
              <a:cs typeface="Tahoma" panose="020B0604030504040204"/>
            </a:rPr>
            <a:t> atas Laporan Keuangan 2013</a:t>
          </a:r>
          <a:endParaRPr lang="en-US" sz="700" b="0" i="0" strike="noStrike">
            <a:solidFill>
              <a:srgbClr val="000000"/>
            </a:solidFill>
            <a:latin typeface="Tahoma" panose="020B0604030504040204"/>
            <a:cs typeface="Tahoma" panose="020B0604030504040204"/>
          </a:endParaRPr>
        </a:p>
      </xdr:txBody>
    </xdr:sp>
    <xdr:clientData/>
  </xdr:twoCellAnchor>
  <xdr:twoCellAnchor editAs="oneCell">
    <xdr:from>
      <xdr:col>6</xdr:col>
      <xdr:colOff>762635</xdr:colOff>
      <xdr:row>1</xdr:row>
      <xdr:rowOff>0</xdr:rowOff>
    </xdr:from>
    <xdr:to>
      <xdr:col>9</xdr:col>
      <xdr:colOff>610653</xdr:colOff>
      <xdr:row>1</xdr:row>
      <xdr:rowOff>15375</xdr:rowOff>
    </xdr:to>
    <xdr:sp macro="" textlink="">
      <xdr:nvSpPr>
        <xdr:cNvPr id="4" name="Text Box 2"/>
        <xdr:cNvSpPr txBox="1">
          <a:spLocks noChangeArrowheads="1"/>
        </xdr:cNvSpPr>
      </xdr:nvSpPr>
      <xdr:spPr>
        <a:xfrm>
          <a:off x="4858385" y="161925"/>
          <a:ext cx="2225040" cy="1524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id-ID" sz="700" b="0" i="0" strike="noStrike">
              <a:solidFill>
                <a:srgbClr val="000000"/>
              </a:solidFill>
              <a:latin typeface="Tahoma" panose="020B0604030504040204"/>
              <a:cs typeface="Tahoma" panose="020B0604030504040204"/>
            </a:rPr>
            <a:t>LAMPIRAN</a:t>
          </a:r>
          <a:r>
            <a:rPr lang="id-ID" sz="700" b="0" i="0" strike="noStrike" baseline="0">
              <a:solidFill>
                <a:srgbClr val="000000"/>
              </a:solidFill>
              <a:latin typeface="Tahoma" panose="020B0604030504040204"/>
              <a:cs typeface="Tahoma" panose="020B0604030504040204"/>
            </a:rPr>
            <a:t> VI</a:t>
          </a:r>
        </a:p>
        <a:p>
          <a:pPr algn="l" rtl="1">
            <a:defRPr sz="1000"/>
          </a:pPr>
          <a:r>
            <a:rPr lang="id-ID" sz="700" b="0" i="0" strike="noStrike">
              <a:solidFill>
                <a:srgbClr val="000000"/>
              </a:solidFill>
              <a:latin typeface="Tahoma" panose="020B0604030504040204"/>
              <a:cs typeface="Tahoma" panose="020B0604030504040204"/>
            </a:rPr>
            <a:t>Catatan</a:t>
          </a:r>
          <a:r>
            <a:rPr lang="id-ID" sz="700" b="0" i="0" strike="noStrike" baseline="0">
              <a:solidFill>
                <a:srgbClr val="000000"/>
              </a:solidFill>
              <a:latin typeface="Tahoma" panose="020B0604030504040204"/>
              <a:cs typeface="Tahoma" panose="020B0604030504040204"/>
            </a:rPr>
            <a:t> atas Laporan Keuangan 2014</a:t>
          </a:r>
          <a:endParaRPr lang="en-US" sz="700" b="0" i="0" strike="noStrike">
            <a:solidFill>
              <a:srgbClr val="000000"/>
            </a:solidFill>
            <a:latin typeface="Tahoma" panose="020B0604030504040204"/>
            <a:cs typeface="Tahoma" panose="020B0604030504040204"/>
          </a:endParaRPr>
        </a:p>
      </xdr:txBody>
    </xdr:sp>
    <xdr:clientData/>
  </xdr:twoCellAnchor>
  <xdr:twoCellAnchor editAs="oneCell">
    <xdr:from>
      <xdr:col>8</xdr:col>
      <xdr:colOff>523240</xdr:colOff>
      <xdr:row>0</xdr:row>
      <xdr:rowOff>131445</xdr:rowOff>
    </xdr:from>
    <xdr:to>
      <xdr:col>10</xdr:col>
      <xdr:colOff>447850</xdr:colOff>
      <xdr:row>0</xdr:row>
      <xdr:rowOff>129921</xdr:rowOff>
    </xdr:to>
    <xdr:sp macro="" textlink="">
      <xdr:nvSpPr>
        <xdr:cNvPr id="5" name="Text Box 2"/>
        <xdr:cNvSpPr txBox="1">
          <a:spLocks noChangeArrowheads="1"/>
        </xdr:cNvSpPr>
      </xdr:nvSpPr>
      <xdr:spPr>
        <a:xfrm>
          <a:off x="6600190" y="131445"/>
          <a:ext cx="1551305" cy="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id-ID" sz="700" b="0" i="0" strike="noStrike">
              <a:solidFill>
                <a:srgbClr val="000000"/>
              </a:solidFill>
              <a:latin typeface="Tahoma" panose="020B0604030504040204"/>
              <a:cs typeface="Tahoma" panose="020B0604030504040204"/>
            </a:rPr>
            <a:t>LAMPIRAN</a:t>
          </a:r>
          <a:r>
            <a:rPr lang="id-ID" sz="700" b="0" i="0" strike="noStrike" baseline="0">
              <a:solidFill>
                <a:srgbClr val="000000"/>
              </a:solidFill>
              <a:latin typeface="Tahoma" panose="020B0604030504040204"/>
              <a:cs typeface="Tahoma" panose="020B0604030504040204"/>
            </a:rPr>
            <a:t> XX </a:t>
          </a:r>
          <a:r>
            <a:rPr lang="id-ID" sz="700" b="0" i="0" strike="noStrike">
              <a:solidFill>
                <a:srgbClr val="000000"/>
              </a:solidFill>
              <a:latin typeface="Tahoma" panose="020B0604030504040204"/>
              <a:cs typeface="Tahoma" panose="020B0604030504040204"/>
            </a:rPr>
            <a:t>Catatan</a:t>
          </a:r>
          <a:r>
            <a:rPr lang="id-ID" sz="700" b="0" i="0" strike="noStrike" baseline="0">
              <a:solidFill>
                <a:srgbClr val="000000"/>
              </a:solidFill>
              <a:latin typeface="Tahoma" panose="020B0604030504040204"/>
              <a:cs typeface="Tahoma" panose="020B0604030504040204"/>
            </a:rPr>
            <a:t> atas Laporan Keuangan 2016</a:t>
          </a:r>
          <a:endParaRPr lang="en-US" sz="700" b="0" i="0" strike="noStrike">
            <a:solidFill>
              <a:srgbClr val="000000"/>
            </a:solidFill>
            <a:latin typeface="Tahoma" panose="020B0604030504040204"/>
            <a:cs typeface="Tahoma" panose="020B0604030504040204"/>
          </a:endParaRPr>
        </a:p>
      </xdr:txBody>
    </xdr:sp>
    <xdr:clientData/>
  </xdr:twoCellAnchor>
  <xdr:twoCellAnchor editAs="oneCell">
    <xdr:from>
      <xdr:col>8</xdr:col>
      <xdr:colOff>526415</xdr:colOff>
      <xdr:row>1</xdr:row>
      <xdr:rowOff>47625</xdr:rowOff>
    </xdr:from>
    <xdr:to>
      <xdr:col>10</xdr:col>
      <xdr:colOff>397755</xdr:colOff>
      <xdr:row>1</xdr:row>
      <xdr:rowOff>47244</xdr:rowOff>
    </xdr:to>
    <xdr:sp macro="" textlink="">
      <xdr:nvSpPr>
        <xdr:cNvPr id="6" name="Text Box 2"/>
        <xdr:cNvSpPr txBox="1">
          <a:spLocks noChangeArrowheads="1"/>
        </xdr:cNvSpPr>
      </xdr:nvSpPr>
      <xdr:spPr>
        <a:xfrm>
          <a:off x="6603365" y="209550"/>
          <a:ext cx="1543685" cy="333375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id-ID" sz="700" b="0" i="0" strike="noStrike">
              <a:solidFill>
                <a:srgbClr val="000000"/>
              </a:solidFill>
              <a:latin typeface="Tahoma" panose="020B0604030504040204"/>
              <a:cs typeface="Tahoma" panose="020B0604030504040204"/>
            </a:rPr>
            <a:t>LAMPIRAN</a:t>
          </a:r>
          <a:r>
            <a:rPr lang="id-ID" sz="700" b="0" i="0" strike="noStrike" baseline="0">
              <a:solidFill>
                <a:srgbClr val="000000"/>
              </a:solidFill>
              <a:latin typeface="Tahoma" panose="020B0604030504040204"/>
              <a:cs typeface="Tahoma" panose="020B0604030504040204"/>
            </a:rPr>
            <a:t> XIX</a:t>
          </a:r>
        </a:p>
        <a:p>
          <a:pPr algn="l" rtl="1">
            <a:defRPr sz="1000"/>
          </a:pPr>
          <a:r>
            <a:rPr lang="id-ID" sz="700" b="0" i="0" strike="noStrike">
              <a:solidFill>
                <a:srgbClr val="000000"/>
              </a:solidFill>
              <a:latin typeface="Tahoma" panose="020B0604030504040204"/>
              <a:cs typeface="Tahoma" panose="020B0604030504040204"/>
            </a:rPr>
            <a:t>Catatan</a:t>
          </a:r>
          <a:r>
            <a:rPr lang="id-ID" sz="700" b="0" i="0" strike="noStrike" baseline="0">
              <a:solidFill>
                <a:srgbClr val="000000"/>
              </a:solidFill>
              <a:latin typeface="Tahoma" panose="020B0604030504040204"/>
              <a:cs typeface="Tahoma" panose="020B0604030504040204"/>
            </a:rPr>
            <a:t> atas Laporan Keuangan 2018</a:t>
          </a:r>
          <a:endParaRPr lang="en-US" sz="700" b="0" i="0" strike="noStrike">
            <a:solidFill>
              <a:srgbClr val="000000"/>
            </a:solidFill>
            <a:latin typeface="Tahoma" panose="020B0604030504040204"/>
            <a:cs typeface="Tahoma" panose="020B0604030504040204"/>
          </a:endParaRPr>
        </a:p>
      </xdr:txBody>
    </xdr:sp>
    <xdr:clientData/>
  </xdr:twoCellAnchor>
  <xdr:twoCellAnchor editAs="oneCell">
    <xdr:from>
      <xdr:col>8</xdr:col>
      <xdr:colOff>3175</xdr:colOff>
      <xdr:row>0</xdr:row>
      <xdr:rowOff>9525</xdr:rowOff>
    </xdr:from>
    <xdr:to>
      <xdr:col>10</xdr:col>
      <xdr:colOff>73295</xdr:colOff>
      <xdr:row>0</xdr:row>
      <xdr:rowOff>24003</xdr:rowOff>
    </xdr:to>
    <xdr:sp macro="" textlink="">
      <xdr:nvSpPr>
        <xdr:cNvPr id="7" name="Text Box 2"/>
        <xdr:cNvSpPr txBox="1">
          <a:spLocks noChangeArrowheads="1"/>
        </xdr:cNvSpPr>
      </xdr:nvSpPr>
      <xdr:spPr>
        <a:xfrm>
          <a:off x="6080125" y="9525"/>
          <a:ext cx="2153920" cy="1397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id-ID" sz="700" b="0" i="0" strike="noStrike">
              <a:solidFill>
                <a:srgbClr val="000000"/>
              </a:solidFill>
              <a:latin typeface="Tahoma" panose="020B0604030504040204"/>
              <a:cs typeface="Tahoma" panose="020B0604030504040204"/>
            </a:rPr>
            <a:t>LAMPIRAN</a:t>
          </a:r>
          <a:r>
            <a:rPr lang="id-ID" sz="700" b="0" i="0" strike="noStrike" baseline="0">
              <a:solidFill>
                <a:srgbClr val="000000"/>
              </a:solidFill>
              <a:latin typeface="Tahoma" panose="020B0604030504040204"/>
              <a:cs typeface="Tahoma" panose="020B0604030504040204"/>
            </a:rPr>
            <a:t> VI</a:t>
          </a:r>
        </a:p>
        <a:p>
          <a:pPr algn="l" rtl="1">
            <a:defRPr sz="1000"/>
          </a:pPr>
          <a:r>
            <a:rPr lang="id-ID" sz="700" b="0" i="0" strike="noStrike">
              <a:solidFill>
                <a:srgbClr val="000000"/>
              </a:solidFill>
              <a:latin typeface="Tahoma" panose="020B0604030504040204"/>
              <a:cs typeface="Tahoma" panose="020B0604030504040204"/>
            </a:rPr>
            <a:t>Catatan</a:t>
          </a:r>
          <a:r>
            <a:rPr lang="id-ID" sz="700" b="0" i="0" strike="noStrike" baseline="0">
              <a:solidFill>
                <a:srgbClr val="000000"/>
              </a:solidFill>
              <a:latin typeface="Tahoma" panose="020B0604030504040204"/>
              <a:cs typeface="Tahoma" panose="020B0604030504040204"/>
            </a:rPr>
            <a:t> atas Laporan Keuangan 2013</a:t>
          </a:r>
          <a:endParaRPr lang="en-US" sz="700" b="0" i="0" strike="noStrike">
            <a:solidFill>
              <a:srgbClr val="000000"/>
            </a:solidFill>
            <a:latin typeface="Tahoma" panose="020B0604030504040204"/>
            <a:cs typeface="Tahoma" panose="020B0604030504040204"/>
          </a:endParaRPr>
        </a:p>
      </xdr:txBody>
    </xdr:sp>
    <xdr:clientData/>
  </xdr:twoCellAnchor>
  <xdr:twoCellAnchor>
    <xdr:from>
      <xdr:col>2</xdr:col>
      <xdr:colOff>257175</xdr:colOff>
      <xdr:row>0</xdr:row>
      <xdr:rowOff>114300</xdr:rowOff>
    </xdr:from>
    <xdr:to>
      <xdr:col>2</xdr:col>
      <xdr:colOff>634999</xdr:colOff>
      <xdr:row>2</xdr:row>
      <xdr:rowOff>179917</xdr:rowOff>
    </xdr:to>
    <xdr:pic>
      <xdr:nvPicPr>
        <xdr:cNvPr id="8" name="Picture 424" descr="lambang daerah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90550" y="114300"/>
          <a:ext cx="377190" cy="4178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333375</xdr:colOff>
      <xdr:row>1</xdr:row>
      <xdr:rowOff>66675</xdr:rowOff>
    </xdr:from>
    <xdr:to>
      <xdr:col>9</xdr:col>
      <xdr:colOff>724676</xdr:colOff>
      <xdr:row>3</xdr:row>
      <xdr:rowOff>112939</xdr:rowOff>
    </xdr:to>
    <xdr:sp macro="" textlink="">
      <xdr:nvSpPr>
        <xdr:cNvPr id="9" name="Text Box 2"/>
        <xdr:cNvSpPr txBox="1">
          <a:spLocks noChangeArrowheads="1"/>
        </xdr:cNvSpPr>
      </xdr:nvSpPr>
      <xdr:spPr>
        <a:xfrm>
          <a:off x="6153150" y="228600"/>
          <a:ext cx="1334276" cy="427264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id-ID" sz="700" b="0" i="0" strike="noStrike">
              <a:solidFill>
                <a:srgbClr val="000000"/>
              </a:solidFill>
              <a:latin typeface="Tahoma" panose="020B0604030504040204"/>
              <a:cs typeface="Tahoma" panose="020B0604030504040204"/>
            </a:rPr>
            <a:t>LAMPIRAN XIX</a:t>
          </a:r>
          <a:r>
            <a:rPr lang="id-ID" sz="700" b="0" i="0" strike="noStrike" baseline="0">
              <a:solidFill>
                <a:srgbClr val="000000"/>
              </a:solidFill>
              <a:latin typeface="Tahoma" panose="020B0604030504040204"/>
              <a:cs typeface="Tahoma" panose="020B0604030504040204"/>
            </a:rPr>
            <a:t> </a:t>
          </a:r>
        </a:p>
        <a:p>
          <a:pPr algn="l" rtl="1">
            <a:defRPr sz="1000"/>
          </a:pPr>
          <a:r>
            <a:rPr lang="id-ID" sz="700" b="0" i="0" strike="noStrike">
              <a:solidFill>
                <a:srgbClr val="000000"/>
              </a:solidFill>
              <a:latin typeface="Tahoma" panose="020B0604030504040204"/>
              <a:cs typeface="Tahoma" panose="020B0604030504040204"/>
            </a:rPr>
            <a:t>Catatan</a:t>
          </a:r>
          <a:r>
            <a:rPr lang="id-ID" sz="700" b="0" i="0" strike="noStrike" baseline="0">
              <a:solidFill>
                <a:srgbClr val="000000"/>
              </a:solidFill>
              <a:latin typeface="Tahoma" panose="020B0604030504040204"/>
              <a:cs typeface="Tahoma" panose="020B0604030504040204"/>
            </a:rPr>
            <a:t> atas Laporan Keuangan 201</a:t>
          </a:r>
          <a:r>
            <a:rPr lang="en-ID" sz="700" b="0" i="0" strike="noStrike" baseline="0">
              <a:solidFill>
                <a:srgbClr val="000000"/>
              </a:solidFill>
              <a:latin typeface="Tahoma" panose="020B0604030504040204"/>
              <a:cs typeface="Tahoma" panose="020B0604030504040204"/>
            </a:rPr>
            <a:t>8</a:t>
          </a:r>
          <a:endParaRPr lang="en-US" sz="700" b="0" i="0" strike="noStrike">
            <a:solidFill>
              <a:srgbClr val="000000"/>
            </a:solidFill>
            <a:latin typeface="Tahoma" panose="020B0604030504040204"/>
            <a:cs typeface="Tahoma" panose="020B0604030504040204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</xdr:colOff>
      <xdr:row>0</xdr:row>
      <xdr:rowOff>85725</xdr:rowOff>
    </xdr:from>
    <xdr:to>
      <xdr:col>2</xdr:col>
      <xdr:colOff>238125</xdr:colOff>
      <xdr:row>3</xdr:row>
      <xdr:rowOff>0</xdr:rowOff>
    </xdr:to>
    <xdr:pic>
      <xdr:nvPicPr>
        <xdr:cNvPr id="113914" name="Picture 424" descr="lambang daerah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228600" y="85725"/>
          <a:ext cx="3714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0</xdr:row>
      <xdr:rowOff>19050</xdr:rowOff>
    </xdr:from>
    <xdr:to>
      <xdr:col>9</xdr:col>
      <xdr:colOff>608838</xdr:colOff>
      <xdr:row>0</xdr:row>
      <xdr:rowOff>27644</xdr:rowOff>
    </xdr:to>
    <xdr:sp macro="" textlink="">
      <xdr:nvSpPr>
        <xdr:cNvPr id="2" name="Text Box 2"/>
        <xdr:cNvSpPr txBox="1">
          <a:spLocks noChangeArrowheads="1"/>
        </xdr:cNvSpPr>
      </xdr:nvSpPr>
      <xdr:spPr>
        <a:xfrm>
          <a:off x="9896475" y="19050"/>
          <a:ext cx="1741805" cy="8255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id-ID" sz="700" b="0" i="0" strike="noStrike">
              <a:solidFill>
                <a:srgbClr val="000000"/>
              </a:solidFill>
              <a:latin typeface="Tahoma" panose="020B0604030504040204"/>
              <a:cs typeface="Tahoma" panose="020B0604030504040204"/>
            </a:rPr>
            <a:t>LAMPIRAN</a:t>
          </a:r>
          <a:r>
            <a:rPr lang="id-ID" sz="700" b="0" i="0" strike="noStrike" baseline="0">
              <a:solidFill>
                <a:srgbClr val="000000"/>
              </a:solidFill>
              <a:latin typeface="Tahoma" panose="020B0604030504040204"/>
              <a:cs typeface="Tahoma" panose="020B0604030504040204"/>
            </a:rPr>
            <a:t> VIII</a:t>
          </a:r>
        </a:p>
        <a:p>
          <a:pPr algn="l" rtl="1">
            <a:defRPr sz="1000"/>
          </a:pPr>
          <a:r>
            <a:rPr lang="id-ID" sz="700" b="0" i="0" strike="noStrike">
              <a:solidFill>
                <a:srgbClr val="000000"/>
              </a:solidFill>
              <a:latin typeface="Tahoma" panose="020B0604030504040204"/>
              <a:cs typeface="Tahoma" panose="020B0604030504040204"/>
            </a:rPr>
            <a:t>Catatan</a:t>
          </a:r>
          <a:r>
            <a:rPr lang="id-ID" sz="700" b="0" i="0" strike="noStrike" baseline="0">
              <a:solidFill>
                <a:srgbClr val="000000"/>
              </a:solidFill>
              <a:latin typeface="Tahoma" panose="020B0604030504040204"/>
              <a:cs typeface="Tahoma" panose="020B0604030504040204"/>
            </a:rPr>
            <a:t> atas Laporan Keuangan 2014</a:t>
          </a:r>
          <a:endParaRPr lang="en-US" sz="700" b="0" i="0" strike="noStrike">
            <a:solidFill>
              <a:srgbClr val="000000"/>
            </a:solidFill>
            <a:latin typeface="Tahoma" panose="020B0604030504040204"/>
            <a:cs typeface="Tahoma" panose="020B0604030504040204"/>
          </a:endParaRPr>
        </a:p>
      </xdr:txBody>
    </xdr:sp>
    <xdr:clientData/>
  </xdr:twoCellAnchor>
  <xdr:twoCellAnchor editAs="oneCell">
    <xdr:from>
      <xdr:col>7</xdr:col>
      <xdr:colOff>476250</xdr:colOff>
      <xdr:row>0</xdr:row>
      <xdr:rowOff>38100</xdr:rowOff>
    </xdr:from>
    <xdr:to>
      <xdr:col>8</xdr:col>
      <xdr:colOff>923925</xdr:colOff>
      <xdr:row>3</xdr:row>
      <xdr:rowOff>9525</xdr:rowOff>
    </xdr:to>
    <xdr:sp macro="" textlink="">
      <xdr:nvSpPr>
        <xdr:cNvPr id="3" name="Text Box 2"/>
        <xdr:cNvSpPr txBox="1">
          <a:spLocks noChangeArrowheads="1"/>
        </xdr:cNvSpPr>
      </xdr:nvSpPr>
      <xdr:spPr>
        <a:xfrm>
          <a:off x="9172575" y="38100"/>
          <a:ext cx="1647825" cy="542925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id-ID" sz="700" b="0" i="0" strike="noStrike">
              <a:solidFill>
                <a:srgbClr val="000000"/>
              </a:solidFill>
              <a:latin typeface="Tahoma" panose="020B0604030504040204"/>
              <a:cs typeface="Tahoma" panose="020B0604030504040204"/>
            </a:rPr>
            <a:t>LAMPIRAN</a:t>
          </a:r>
          <a:r>
            <a:rPr lang="id-ID" sz="700" b="0" i="0" strike="noStrike" baseline="0">
              <a:solidFill>
                <a:srgbClr val="000000"/>
              </a:solidFill>
              <a:latin typeface="Tahoma" panose="020B0604030504040204"/>
              <a:cs typeface="Tahoma" panose="020B0604030504040204"/>
            </a:rPr>
            <a:t> II </a:t>
          </a:r>
          <a:r>
            <a:rPr lang="id-ID" sz="700" b="0" i="0" strike="noStrike">
              <a:solidFill>
                <a:srgbClr val="000000"/>
              </a:solidFill>
              <a:latin typeface="Tahoma" panose="020B0604030504040204"/>
              <a:cs typeface="Tahoma" panose="020B0604030504040204"/>
            </a:rPr>
            <a:t>Catatan</a:t>
          </a:r>
          <a:r>
            <a:rPr lang="id-ID" sz="700" b="0" i="0" strike="noStrike" baseline="0">
              <a:solidFill>
                <a:srgbClr val="000000"/>
              </a:solidFill>
              <a:latin typeface="Tahoma" panose="020B0604030504040204"/>
              <a:cs typeface="Tahoma" panose="020B0604030504040204"/>
            </a:rPr>
            <a:t> atas Laporan Keuangan 2018</a:t>
          </a:r>
          <a:endParaRPr lang="en-US" sz="700" b="0" i="0" strike="noStrike">
            <a:solidFill>
              <a:srgbClr val="000000"/>
            </a:solidFill>
            <a:latin typeface="Tahoma" panose="020B0604030504040204"/>
            <a:cs typeface="Tahoma" panose="020B0604030504040204"/>
          </a:endParaRPr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1819956</xdr:colOff>
      <xdr:row>0</xdr:row>
      <xdr:rowOff>68036</xdr:rowOff>
    </xdr:from>
    <xdr:to>
      <xdr:col>6</xdr:col>
      <xdr:colOff>1457</xdr:colOff>
      <xdr:row>3</xdr:row>
      <xdr:rowOff>28575</xdr:rowOff>
    </xdr:to>
    <xdr:sp macro="" textlink="">
      <xdr:nvSpPr>
        <xdr:cNvPr id="2" name="Text Box 2"/>
        <xdr:cNvSpPr txBox="1">
          <a:spLocks noChangeArrowheads="1"/>
        </xdr:cNvSpPr>
      </xdr:nvSpPr>
      <xdr:spPr>
        <a:xfrm>
          <a:off x="5048931" y="68036"/>
          <a:ext cx="1334276" cy="427264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id-ID" sz="700" b="0" i="0" strike="noStrike">
              <a:solidFill>
                <a:srgbClr val="000000"/>
              </a:solidFill>
              <a:latin typeface="Tahoma" panose="020B0604030504040204"/>
              <a:cs typeface="Tahoma" panose="020B0604030504040204"/>
            </a:rPr>
            <a:t>LAMPIRAN XX</a:t>
          </a:r>
          <a:endParaRPr lang="id-ID" sz="700" b="0" i="0" strike="noStrike" baseline="0">
            <a:solidFill>
              <a:srgbClr val="000000"/>
            </a:solidFill>
            <a:latin typeface="Tahoma" panose="020B0604030504040204"/>
            <a:cs typeface="Tahoma" panose="020B0604030504040204"/>
          </a:endParaRPr>
        </a:p>
        <a:p>
          <a:pPr algn="l" rtl="1">
            <a:defRPr sz="1000"/>
          </a:pPr>
          <a:r>
            <a:rPr lang="id-ID" sz="700" b="0" i="0" strike="noStrike">
              <a:solidFill>
                <a:srgbClr val="000000"/>
              </a:solidFill>
              <a:latin typeface="Tahoma" panose="020B0604030504040204"/>
              <a:cs typeface="Tahoma" panose="020B0604030504040204"/>
            </a:rPr>
            <a:t>Catatan</a:t>
          </a:r>
          <a:r>
            <a:rPr lang="id-ID" sz="700" b="0" i="0" strike="noStrike" baseline="0">
              <a:solidFill>
                <a:srgbClr val="000000"/>
              </a:solidFill>
              <a:latin typeface="Tahoma" panose="020B0604030504040204"/>
              <a:cs typeface="Tahoma" panose="020B0604030504040204"/>
            </a:rPr>
            <a:t> atas Laporan Keuangan 201</a:t>
          </a:r>
          <a:r>
            <a:rPr lang="en-ID" sz="700" b="0" i="0" strike="noStrike" baseline="0">
              <a:solidFill>
                <a:srgbClr val="000000"/>
              </a:solidFill>
              <a:latin typeface="Tahoma" panose="020B0604030504040204"/>
              <a:cs typeface="Tahoma" panose="020B0604030504040204"/>
            </a:rPr>
            <a:t>8</a:t>
          </a:r>
          <a:endParaRPr lang="en-US" sz="700" b="0" i="0" strike="noStrike">
            <a:solidFill>
              <a:srgbClr val="000000"/>
            </a:solidFill>
            <a:latin typeface="Tahoma" panose="020B0604030504040204"/>
            <a:cs typeface="Tahoma" panose="020B0604030504040204"/>
          </a:endParaRPr>
        </a:p>
      </xdr:txBody>
    </xdr:sp>
    <xdr:clientData/>
  </xdr:twoCellAnchor>
  <xdr:twoCellAnchor>
    <xdr:from>
      <xdr:col>1</xdr:col>
      <xdr:colOff>219075</xdr:colOff>
      <xdr:row>0</xdr:row>
      <xdr:rowOff>28575</xdr:rowOff>
    </xdr:from>
    <xdr:to>
      <xdr:col>2</xdr:col>
      <xdr:colOff>358774</xdr:colOff>
      <xdr:row>2</xdr:row>
      <xdr:rowOff>141817</xdr:rowOff>
    </xdr:to>
    <xdr:pic>
      <xdr:nvPicPr>
        <xdr:cNvPr id="3" name="Picture 424" descr="lambang daerah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09575" y="28575"/>
          <a:ext cx="377824" cy="4180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995680</xdr:colOff>
      <xdr:row>0</xdr:row>
      <xdr:rowOff>11430</xdr:rowOff>
    </xdr:from>
    <xdr:to>
      <xdr:col>7</xdr:col>
      <xdr:colOff>445849</xdr:colOff>
      <xdr:row>0</xdr:row>
      <xdr:rowOff>13599</xdr:rowOff>
    </xdr:to>
    <xdr:sp macro="" textlink="">
      <xdr:nvSpPr>
        <xdr:cNvPr id="2" name="Text Box 2"/>
        <xdr:cNvSpPr txBox="1">
          <a:spLocks noChangeArrowheads="1"/>
        </xdr:cNvSpPr>
      </xdr:nvSpPr>
      <xdr:spPr>
        <a:xfrm>
          <a:off x="8872855" y="11430"/>
          <a:ext cx="1896189" cy="3927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id-ID" sz="700" b="0" i="0" strike="noStrike">
              <a:solidFill>
                <a:srgbClr val="000000"/>
              </a:solidFill>
              <a:latin typeface="Tahoma" panose="020B0604030504040204"/>
              <a:cs typeface="Tahoma" panose="020B0604030504040204"/>
            </a:rPr>
            <a:t>LAMPIRAN XV</a:t>
          </a:r>
          <a:r>
            <a:rPr lang="id-ID" sz="700" b="0" i="0" strike="noStrike" baseline="0">
              <a:solidFill>
                <a:srgbClr val="000000"/>
              </a:solidFill>
              <a:latin typeface="Tahoma" panose="020B0604030504040204"/>
              <a:cs typeface="Tahoma" panose="020B0604030504040204"/>
            </a:rPr>
            <a:t> </a:t>
          </a:r>
        </a:p>
        <a:p>
          <a:pPr algn="l" rtl="1">
            <a:defRPr sz="1000"/>
          </a:pPr>
          <a:r>
            <a:rPr lang="id-ID" sz="700" b="0" i="0" strike="noStrike">
              <a:solidFill>
                <a:srgbClr val="000000"/>
              </a:solidFill>
              <a:latin typeface="Tahoma" panose="020B0604030504040204"/>
              <a:cs typeface="Tahoma" panose="020B0604030504040204"/>
            </a:rPr>
            <a:t>Catatan</a:t>
          </a:r>
          <a:r>
            <a:rPr lang="id-ID" sz="700" b="0" i="0" strike="noStrike" baseline="0">
              <a:solidFill>
                <a:srgbClr val="000000"/>
              </a:solidFill>
              <a:latin typeface="Tahoma" panose="020B0604030504040204"/>
              <a:cs typeface="Tahoma" panose="020B0604030504040204"/>
            </a:rPr>
            <a:t> atas Laporan Keuangan 201</a:t>
          </a:r>
          <a:r>
            <a:rPr lang="en-US" sz="700" b="0" i="0" strike="noStrike" baseline="0">
              <a:solidFill>
                <a:srgbClr val="000000"/>
              </a:solidFill>
              <a:latin typeface="Tahoma" panose="020B0604030504040204"/>
              <a:cs typeface="Tahoma" panose="020B0604030504040204"/>
            </a:rPr>
            <a:t>7</a:t>
          </a:r>
          <a:endParaRPr lang="en-US" sz="700" b="0" i="0" strike="noStrike">
            <a:solidFill>
              <a:srgbClr val="000000"/>
            </a:solidFill>
            <a:latin typeface="Tahoma" panose="020B0604030504040204"/>
            <a:cs typeface="Tahoma" panose="020B0604030504040204"/>
          </a:endParaRPr>
        </a:p>
      </xdr:txBody>
    </xdr:sp>
    <xdr:clientData/>
  </xdr:twoCellAnchor>
  <xdr:twoCellAnchor editAs="oneCell">
    <xdr:from>
      <xdr:col>8</xdr:col>
      <xdr:colOff>3048000</xdr:colOff>
      <xdr:row>0</xdr:row>
      <xdr:rowOff>0</xdr:rowOff>
    </xdr:from>
    <xdr:to>
      <xdr:col>10</xdr:col>
      <xdr:colOff>442282</xdr:colOff>
      <xdr:row>0</xdr:row>
      <xdr:rowOff>28575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16497300" y="0"/>
          <a:ext cx="2285619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1857374</xdr:colOff>
      <xdr:row>0</xdr:row>
      <xdr:rowOff>95250</xdr:rowOff>
    </xdr:from>
    <xdr:to>
      <xdr:col>7</xdr:col>
      <xdr:colOff>1405127</xdr:colOff>
      <xdr:row>0</xdr:row>
      <xdr:rowOff>97419</xdr:rowOff>
    </xdr:to>
    <xdr:sp macro="" textlink="">
      <xdr:nvSpPr>
        <xdr:cNvPr id="5" name="Text Box 2"/>
        <xdr:cNvSpPr txBox="1">
          <a:spLocks noChangeArrowheads="1"/>
        </xdr:cNvSpPr>
      </xdr:nvSpPr>
      <xdr:spPr>
        <a:xfrm>
          <a:off x="9734549" y="95250"/>
          <a:ext cx="1798701" cy="2169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id-ID" sz="700" b="0" i="0" strike="noStrike">
              <a:solidFill>
                <a:srgbClr val="000000"/>
              </a:solidFill>
              <a:latin typeface="Tahoma" panose="020B0604030504040204"/>
              <a:cs typeface="Tahoma" panose="020B0604030504040204"/>
            </a:rPr>
            <a:t>LAMPIRAN</a:t>
          </a:r>
          <a:r>
            <a:rPr lang="id-ID" sz="700" b="0" i="0" strike="noStrike" baseline="0">
              <a:solidFill>
                <a:srgbClr val="000000"/>
              </a:solidFill>
              <a:latin typeface="Tahoma" panose="020B0604030504040204"/>
              <a:cs typeface="Tahoma" panose="020B0604030504040204"/>
            </a:rPr>
            <a:t> X</a:t>
          </a:r>
          <a:r>
            <a:rPr lang="en-ID" sz="700" b="0" i="0" strike="noStrike" baseline="0">
              <a:solidFill>
                <a:srgbClr val="000000"/>
              </a:solidFill>
              <a:latin typeface="Tahoma" panose="020B0604030504040204"/>
              <a:cs typeface="Tahoma" panose="020B0604030504040204"/>
            </a:rPr>
            <a:t>V</a:t>
          </a:r>
          <a:endParaRPr lang="id-ID" sz="700" b="0" i="0" strike="noStrike" baseline="0">
            <a:solidFill>
              <a:srgbClr val="000000"/>
            </a:solidFill>
            <a:latin typeface="Tahoma" panose="020B0604030504040204"/>
            <a:cs typeface="Tahoma" panose="020B0604030504040204"/>
          </a:endParaRPr>
        </a:p>
        <a:p>
          <a:pPr algn="l" rtl="1">
            <a:defRPr sz="1000"/>
          </a:pPr>
          <a:r>
            <a:rPr lang="id-ID" sz="700" b="0" i="0" strike="noStrike">
              <a:solidFill>
                <a:srgbClr val="000000"/>
              </a:solidFill>
              <a:latin typeface="Tahoma" panose="020B0604030504040204"/>
              <a:cs typeface="Tahoma" panose="020B0604030504040204"/>
            </a:rPr>
            <a:t>Catatan</a:t>
          </a:r>
          <a:r>
            <a:rPr lang="id-ID" sz="700" b="0" i="0" strike="noStrike" baseline="0">
              <a:solidFill>
                <a:srgbClr val="000000"/>
              </a:solidFill>
              <a:latin typeface="Tahoma" panose="020B0604030504040204"/>
              <a:cs typeface="Tahoma" panose="020B0604030504040204"/>
            </a:rPr>
            <a:t> atas Laporan Keuangan 2018</a:t>
          </a:r>
          <a:endParaRPr lang="en-US" sz="700" b="0" i="0" strike="noStrike">
            <a:solidFill>
              <a:srgbClr val="000000"/>
            </a:solidFill>
            <a:latin typeface="Tahoma" panose="020B0604030504040204"/>
            <a:cs typeface="Tahoma" panose="020B0604030504040204"/>
          </a:endParaRPr>
        </a:p>
      </xdr:txBody>
    </xdr:sp>
    <xdr:clientData/>
  </xdr:twoCellAnchor>
  <xdr:twoCellAnchor editAs="oneCell">
    <xdr:from>
      <xdr:col>6</xdr:col>
      <xdr:colOff>1295400</xdr:colOff>
      <xdr:row>0</xdr:row>
      <xdr:rowOff>114300</xdr:rowOff>
    </xdr:from>
    <xdr:to>
      <xdr:col>7</xdr:col>
      <xdr:colOff>677799</xdr:colOff>
      <xdr:row>0</xdr:row>
      <xdr:rowOff>116703</xdr:rowOff>
    </xdr:to>
    <xdr:sp macro="" textlink="">
      <xdr:nvSpPr>
        <xdr:cNvPr id="6" name="Text Box 2"/>
        <xdr:cNvSpPr txBox="1">
          <a:spLocks noChangeArrowheads="1"/>
        </xdr:cNvSpPr>
      </xdr:nvSpPr>
      <xdr:spPr>
        <a:xfrm>
          <a:off x="9172575" y="114300"/>
          <a:ext cx="1743075" cy="352425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id-ID" sz="700" b="0" i="0" strike="noStrike">
              <a:solidFill>
                <a:srgbClr val="000000"/>
              </a:solidFill>
              <a:latin typeface="Tahoma" panose="020B0604030504040204"/>
              <a:cs typeface="Tahoma" panose="020B0604030504040204"/>
            </a:rPr>
            <a:t>LAMPIRAN XXI</a:t>
          </a:r>
          <a:endParaRPr lang="id-ID" sz="700" b="0" i="0" strike="noStrike" baseline="0">
            <a:solidFill>
              <a:srgbClr val="000000"/>
            </a:solidFill>
            <a:latin typeface="Tahoma" panose="020B0604030504040204"/>
            <a:cs typeface="Tahoma" panose="020B0604030504040204"/>
          </a:endParaRPr>
        </a:p>
        <a:p>
          <a:pPr algn="l" rtl="1">
            <a:defRPr sz="1000"/>
          </a:pPr>
          <a:r>
            <a:rPr lang="id-ID" sz="700" b="0" i="0" strike="noStrike">
              <a:solidFill>
                <a:srgbClr val="000000"/>
              </a:solidFill>
              <a:latin typeface="Tahoma" panose="020B0604030504040204"/>
              <a:cs typeface="Tahoma" panose="020B0604030504040204"/>
            </a:rPr>
            <a:t>Catatan</a:t>
          </a:r>
          <a:r>
            <a:rPr lang="id-ID" sz="700" b="0" i="0" strike="noStrike" baseline="0">
              <a:solidFill>
                <a:srgbClr val="000000"/>
              </a:solidFill>
              <a:latin typeface="Tahoma" panose="020B0604030504040204"/>
              <a:cs typeface="Tahoma" panose="020B0604030504040204"/>
            </a:rPr>
            <a:t> atas Laporan Keuangan 201</a:t>
          </a:r>
          <a:r>
            <a:rPr lang="en-ID" sz="700" b="0" i="0" strike="noStrike" baseline="0">
              <a:solidFill>
                <a:srgbClr val="000000"/>
              </a:solidFill>
              <a:latin typeface="Tahoma" panose="020B0604030504040204"/>
              <a:cs typeface="Tahoma" panose="020B0604030504040204"/>
            </a:rPr>
            <a:t>8</a:t>
          </a:r>
          <a:endParaRPr lang="en-US" sz="700" b="0" i="0" strike="noStrike">
            <a:solidFill>
              <a:srgbClr val="000000"/>
            </a:solidFill>
            <a:latin typeface="Tahoma" panose="020B0604030504040204"/>
            <a:cs typeface="Tahoma" panose="020B0604030504040204"/>
          </a:endParaRPr>
        </a:p>
      </xdr:txBody>
    </xdr:sp>
    <xdr:clientData/>
  </xdr:twoCellAnchor>
  <xdr:twoCellAnchor>
    <xdr:from>
      <xdr:col>2</xdr:col>
      <xdr:colOff>200025</xdr:colOff>
      <xdr:row>0</xdr:row>
      <xdr:rowOff>66675</xdr:rowOff>
    </xdr:from>
    <xdr:to>
      <xdr:col>2</xdr:col>
      <xdr:colOff>577849</xdr:colOff>
      <xdr:row>2</xdr:row>
      <xdr:rowOff>171450</xdr:rowOff>
    </xdr:to>
    <xdr:pic>
      <xdr:nvPicPr>
        <xdr:cNvPr id="7" name="Picture 424" descr="lambang daerah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76275" y="66675"/>
          <a:ext cx="377824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847725</xdr:colOff>
      <xdr:row>0</xdr:row>
      <xdr:rowOff>85725</xdr:rowOff>
    </xdr:from>
    <xdr:to>
      <xdr:col>6</xdr:col>
      <xdr:colOff>2182001</xdr:colOff>
      <xdr:row>2</xdr:row>
      <xdr:rowOff>103414</xdr:rowOff>
    </xdr:to>
    <xdr:sp macro="" textlink="">
      <xdr:nvSpPr>
        <xdr:cNvPr id="8" name="Text Box 2"/>
        <xdr:cNvSpPr txBox="1">
          <a:spLocks noChangeArrowheads="1"/>
        </xdr:cNvSpPr>
      </xdr:nvSpPr>
      <xdr:spPr>
        <a:xfrm>
          <a:off x="7362825" y="85725"/>
          <a:ext cx="1334276" cy="427264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id-ID" sz="700" b="0" i="0" strike="noStrike">
              <a:solidFill>
                <a:srgbClr val="000000"/>
              </a:solidFill>
              <a:latin typeface="Tahoma" panose="020B0604030504040204"/>
              <a:cs typeface="Tahoma" panose="020B0604030504040204"/>
            </a:rPr>
            <a:t> LAMPIRAN XXI</a:t>
          </a:r>
          <a:endParaRPr lang="id-ID" sz="700" b="0" i="0" strike="noStrike" baseline="0">
            <a:solidFill>
              <a:srgbClr val="000000"/>
            </a:solidFill>
            <a:latin typeface="Tahoma" panose="020B0604030504040204"/>
            <a:cs typeface="Tahoma" panose="020B0604030504040204"/>
          </a:endParaRPr>
        </a:p>
        <a:p>
          <a:pPr algn="l" rtl="1">
            <a:defRPr sz="1000"/>
          </a:pPr>
          <a:r>
            <a:rPr lang="id-ID" sz="700" b="0" i="0" strike="noStrike">
              <a:solidFill>
                <a:srgbClr val="000000"/>
              </a:solidFill>
              <a:latin typeface="Tahoma" panose="020B0604030504040204"/>
              <a:cs typeface="Tahoma" panose="020B0604030504040204"/>
            </a:rPr>
            <a:t>Catatan</a:t>
          </a:r>
          <a:r>
            <a:rPr lang="id-ID" sz="700" b="0" i="0" strike="noStrike" baseline="0">
              <a:solidFill>
                <a:srgbClr val="000000"/>
              </a:solidFill>
              <a:latin typeface="Tahoma" panose="020B0604030504040204"/>
              <a:cs typeface="Tahoma" panose="020B0604030504040204"/>
            </a:rPr>
            <a:t> atas Laporan Keuangan 201</a:t>
          </a:r>
          <a:r>
            <a:rPr lang="en-ID" sz="700" b="0" i="0" strike="noStrike" baseline="0">
              <a:solidFill>
                <a:srgbClr val="000000"/>
              </a:solidFill>
              <a:latin typeface="Tahoma" panose="020B0604030504040204"/>
              <a:cs typeface="Tahoma" panose="020B0604030504040204"/>
            </a:rPr>
            <a:t>8</a:t>
          </a:r>
          <a:endParaRPr lang="en-US" sz="700" b="0" i="0" strike="noStrike">
            <a:solidFill>
              <a:srgbClr val="000000"/>
            </a:solidFill>
            <a:latin typeface="Tahoma" panose="020B0604030504040204"/>
            <a:cs typeface="Tahoma" panose="020B0604030504040204"/>
          </a:endParaRPr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210820</xdr:colOff>
      <xdr:row>1</xdr:row>
      <xdr:rowOff>38100</xdr:rowOff>
    </xdr:from>
    <xdr:to>
      <xdr:col>19</xdr:col>
      <xdr:colOff>468677</xdr:colOff>
      <xdr:row>1</xdr:row>
      <xdr:rowOff>39624</xdr:rowOff>
    </xdr:to>
    <xdr:sp macro="" textlink="">
      <xdr:nvSpPr>
        <xdr:cNvPr id="2" name="Text Box 2"/>
        <xdr:cNvSpPr txBox="1">
          <a:spLocks noChangeArrowheads="1"/>
        </xdr:cNvSpPr>
      </xdr:nvSpPr>
      <xdr:spPr>
        <a:xfrm>
          <a:off x="26804620" y="180975"/>
          <a:ext cx="1619932" cy="1524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id-ID" sz="700" b="0" i="0" strike="noStrike">
              <a:solidFill>
                <a:srgbClr val="000000"/>
              </a:solidFill>
              <a:latin typeface="Tahoma" panose="020B0604030504040204"/>
              <a:cs typeface="Tahoma" panose="020B0604030504040204"/>
            </a:rPr>
            <a:t>LAMPIRAN III</a:t>
          </a:r>
          <a:r>
            <a:rPr lang="id-ID" sz="700" b="0" i="0" strike="noStrike" baseline="0">
              <a:solidFill>
                <a:srgbClr val="000000"/>
              </a:solidFill>
              <a:latin typeface="Tahoma" panose="020B0604030504040204"/>
              <a:cs typeface="Tahoma" panose="020B0604030504040204"/>
            </a:rPr>
            <a:t> </a:t>
          </a:r>
        </a:p>
        <a:p>
          <a:pPr algn="l" rtl="1">
            <a:defRPr sz="1000"/>
          </a:pPr>
          <a:r>
            <a:rPr lang="id-ID" sz="700" b="0" i="0" strike="noStrike">
              <a:solidFill>
                <a:srgbClr val="000000"/>
              </a:solidFill>
              <a:latin typeface="Tahoma" panose="020B0604030504040204"/>
              <a:cs typeface="Tahoma" panose="020B0604030504040204"/>
            </a:rPr>
            <a:t>Catatan</a:t>
          </a:r>
          <a:r>
            <a:rPr lang="id-ID" sz="700" b="0" i="0" strike="noStrike" baseline="0">
              <a:solidFill>
                <a:srgbClr val="000000"/>
              </a:solidFill>
              <a:latin typeface="Tahoma" panose="020B0604030504040204"/>
              <a:cs typeface="Tahoma" panose="020B0604030504040204"/>
            </a:rPr>
            <a:t> atas Laporan Keuangan 2016</a:t>
          </a:r>
          <a:endParaRPr lang="en-US" sz="700" b="0" i="0" strike="noStrike">
            <a:solidFill>
              <a:srgbClr val="000000"/>
            </a:solidFill>
            <a:latin typeface="Tahoma" panose="020B0604030504040204"/>
            <a:cs typeface="Tahoma" panose="020B0604030504040204"/>
          </a:endParaRPr>
        </a:p>
      </xdr:txBody>
    </xdr:sp>
    <xdr:clientData/>
  </xdr:twoCellAnchor>
  <xdr:twoCellAnchor editAs="oneCell">
    <xdr:from>
      <xdr:col>18</xdr:col>
      <xdr:colOff>210820</xdr:colOff>
      <xdr:row>1</xdr:row>
      <xdr:rowOff>38100</xdr:rowOff>
    </xdr:from>
    <xdr:to>
      <xdr:col>19</xdr:col>
      <xdr:colOff>564053</xdr:colOff>
      <xdr:row>1</xdr:row>
      <xdr:rowOff>39624</xdr:rowOff>
    </xdr:to>
    <xdr:sp macro="" textlink="">
      <xdr:nvSpPr>
        <xdr:cNvPr id="4" name="Text Box 2"/>
        <xdr:cNvSpPr txBox="1">
          <a:spLocks noChangeArrowheads="1"/>
        </xdr:cNvSpPr>
      </xdr:nvSpPr>
      <xdr:spPr>
        <a:xfrm>
          <a:off x="26804620" y="180975"/>
          <a:ext cx="1715308" cy="1524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id-ID" sz="700" b="0" i="0" strike="noStrike">
              <a:solidFill>
                <a:srgbClr val="000000"/>
              </a:solidFill>
              <a:latin typeface="Tahoma" panose="020B0604030504040204"/>
              <a:cs typeface="Tahoma" panose="020B0604030504040204"/>
            </a:rPr>
            <a:t>LAMPIRAN III</a:t>
          </a:r>
          <a:r>
            <a:rPr lang="id-ID" sz="700" b="0" i="0" strike="noStrike" baseline="0">
              <a:solidFill>
                <a:srgbClr val="000000"/>
              </a:solidFill>
              <a:latin typeface="Tahoma" panose="020B0604030504040204"/>
              <a:cs typeface="Tahoma" panose="020B0604030504040204"/>
            </a:rPr>
            <a:t> </a:t>
          </a:r>
        </a:p>
        <a:p>
          <a:pPr algn="l" rtl="1">
            <a:defRPr sz="1000"/>
          </a:pPr>
          <a:r>
            <a:rPr lang="id-ID" sz="700" b="0" i="0" strike="noStrike">
              <a:solidFill>
                <a:srgbClr val="000000"/>
              </a:solidFill>
              <a:latin typeface="Tahoma" panose="020B0604030504040204"/>
              <a:cs typeface="Tahoma" panose="020B0604030504040204"/>
            </a:rPr>
            <a:t>Catatan</a:t>
          </a:r>
          <a:r>
            <a:rPr lang="id-ID" sz="700" b="0" i="0" strike="noStrike" baseline="0">
              <a:solidFill>
                <a:srgbClr val="000000"/>
              </a:solidFill>
              <a:latin typeface="Tahoma" panose="020B0604030504040204"/>
              <a:cs typeface="Tahoma" panose="020B0604030504040204"/>
            </a:rPr>
            <a:t> atas Laporan Keuangan 2016</a:t>
          </a:r>
          <a:endParaRPr lang="en-US" sz="700" b="0" i="0" strike="noStrike">
            <a:solidFill>
              <a:srgbClr val="000000"/>
            </a:solidFill>
            <a:latin typeface="Tahoma" panose="020B0604030504040204"/>
            <a:cs typeface="Tahoma" panose="020B0604030504040204"/>
          </a:endParaRPr>
        </a:p>
      </xdr:txBody>
    </xdr:sp>
    <xdr:clientData/>
  </xdr:twoCellAnchor>
  <xdr:twoCellAnchor editAs="oneCell">
    <xdr:from>
      <xdr:col>10</xdr:col>
      <xdr:colOff>178931</xdr:colOff>
      <xdr:row>0</xdr:row>
      <xdr:rowOff>0</xdr:rowOff>
    </xdr:from>
    <xdr:to>
      <xdr:col>11</xdr:col>
      <xdr:colOff>1174827</xdr:colOff>
      <xdr:row>2</xdr:row>
      <xdr:rowOff>81311</xdr:rowOff>
    </xdr:to>
    <xdr:sp macro="" textlink="">
      <xdr:nvSpPr>
        <xdr:cNvPr id="5" name="Text Box 2"/>
        <xdr:cNvSpPr txBox="1">
          <a:spLocks noChangeArrowheads="1"/>
        </xdr:cNvSpPr>
      </xdr:nvSpPr>
      <xdr:spPr>
        <a:xfrm>
          <a:off x="16457156" y="0"/>
          <a:ext cx="2329396" cy="424211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id-ID" sz="800" b="0" i="0" strike="noStrike">
              <a:solidFill>
                <a:srgbClr val="000000"/>
              </a:solidFill>
              <a:latin typeface="Tahoma" panose="020B0604030504040204"/>
              <a:cs typeface="Tahoma" panose="020B0604030504040204"/>
            </a:rPr>
            <a:t>LAMPIRAN XV</a:t>
          </a:r>
          <a:r>
            <a:rPr lang="id-ID" sz="800" b="0" i="0" strike="noStrike" baseline="0">
              <a:solidFill>
                <a:srgbClr val="000000"/>
              </a:solidFill>
              <a:latin typeface="Tahoma" panose="020B0604030504040204"/>
              <a:cs typeface="Tahoma" panose="020B0604030504040204"/>
            </a:rPr>
            <a:t>I</a:t>
          </a:r>
        </a:p>
        <a:p>
          <a:pPr algn="l" rtl="1">
            <a:defRPr sz="1000"/>
          </a:pPr>
          <a:r>
            <a:rPr lang="id-ID" sz="800" b="0" i="0" strike="noStrike">
              <a:solidFill>
                <a:srgbClr val="000000"/>
              </a:solidFill>
              <a:latin typeface="Tahoma" panose="020B0604030504040204"/>
              <a:cs typeface="Tahoma" panose="020B0604030504040204"/>
            </a:rPr>
            <a:t>Catatan</a:t>
          </a:r>
          <a:r>
            <a:rPr lang="id-ID" sz="800" b="0" i="0" strike="noStrike" baseline="0">
              <a:solidFill>
                <a:srgbClr val="000000"/>
              </a:solidFill>
              <a:latin typeface="Tahoma" panose="020B0604030504040204"/>
              <a:cs typeface="Tahoma" panose="020B0604030504040204"/>
            </a:rPr>
            <a:t> atas Laporan Keuangan 201</a:t>
          </a:r>
          <a:r>
            <a:rPr lang="en-US" sz="800" b="0" i="0" strike="noStrike" baseline="0">
              <a:solidFill>
                <a:srgbClr val="000000"/>
              </a:solidFill>
              <a:latin typeface="Tahoma" panose="020B0604030504040204"/>
              <a:cs typeface="Tahoma" panose="020B0604030504040204"/>
            </a:rPr>
            <a:t>7</a:t>
          </a:r>
          <a:endParaRPr lang="en-US" sz="800" b="0" i="0" strike="noStrike">
            <a:solidFill>
              <a:srgbClr val="000000"/>
            </a:solidFill>
            <a:latin typeface="Tahoma" panose="020B0604030504040204"/>
            <a:cs typeface="Tahoma" panose="020B0604030504040204"/>
          </a:endParaRPr>
        </a:p>
      </xdr:txBody>
    </xdr:sp>
    <xdr:clientData/>
  </xdr:twoCellAnchor>
  <xdr:twoCellAnchor editAs="oneCell">
    <xdr:from>
      <xdr:col>18</xdr:col>
      <xdr:colOff>210820</xdr:colOff>
      <xdr:row>2</xdr:row>
      <xdr:rowOff>38100</xdr:rowOff>
    </xdr:from>
    <xdr:to>
      <xdr:col>19</xdr:col>
      <xdr:colOff>468677</xdr:colOff>
      <xdr:row>2</xdr:row>
      <xdr:rowOff>39624</xdr:rowOff>
    </xdr:to>
    <xdr:sp macro="" textlink="">
      <xdr:nvSpPr>
        <xdr:cNvPr id="6" name="Text Box 2"/>
        <xdr:cNvSpPr txBox="1">
          <a:spLocks noChangeArrowheads="1"/>
        </xdr:cNvSpPr>
      </xdr:nvSpPr>
      <xdr:spPr>
        <a:xfrm>
          <a:off x="26804620" y="381000"/>
          <a:ext cx="1619932" cy="1524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id-ID" sz="700" b="0" i="0" strike="noStrike">
              <a:solidFill>
                <a:srgbClr val="000000"/>
              </a:solidFill>
              <a:latin typeface="Tahoma" panose="020B0604030504040204"/>
              <a:cs typeface="Tahoma" panose="020B0604030504040204"/>
            </a:rPr>
            <a:t>LAMPIRAN III</a:t>
          </a:r>
          <a:r>
            <a:rPr lang="id-ID" sz="700" b="0" i="0" strike="noStrike" baseline="0">
              <a:solidFill>
                <a:srgbClr val="000000"/>
              </a:solidFill>
              <a:latin typeface="Tahoma" panose="020B0604030504040204"/>
              <a:cs typeface="Tahoma" panose="020B0604030504040204"/>
            </a:rPr>
            <a:t> </a:t>
          </a:r>
        </a:p>
        <a:p>
          <a:pPr algn="l" rtl="1">
            <a:defRPr sz="1000"/>
          </a:pPr>
          <a:r>
            <a:rPr lang="id-ID" sz="700" b="0" i="0" strike="noStrike">
              <a:solidFill>
                <a:srgbClr val="000000"/>
              </a:solidFill>
              <a:latin typeface="Tahoma" panose="020B0604030504040204"/>
              <a:cs typeface="Tahoma" panose="020B0604030504040204"/>
            </a:rPr>
            <a:t>Catatan</a:t>
          </a:r>
          <a:r>
            <a:rPr lang="id-ID" sz="700" b="0" i="0" strike="noStrike" baseline="0">
              <a:solidFill>
                <a:srgbClr val="000000"/>
              </a:solidFill>
              <a:latin typeface="Tahoma" panose="020B0604030504040204"/>
              <a:cs typeface="Tahoma" panose="020B0604030504040204"/>
            </a:rPr>
            <a:t> atas Laporan Keuangan 2016</a:t>
          </a:r>
          <a:endParaRPr lang="en-US" sz="700" b="0" i="0" strike="noStrike">
            <a:solidFill>
              <a:srgbClr val="000000"/>
            </a:solidFill>
            <a:latin typeface="Tahoma" panose="020B0604030504040204"/>
            <a:cs typeface="Tahoma" panose="020B0604030504040204"/>
          </a:endParaRPr>
        </a:p>
      </xdr:txBody>
    </xdr:sp>
    <xdr:clientData/>
  </xdr:twoCellAnchor>
  <xdr:twoCellAnchor editAs="oneCell">
    <xdr:from>
      <xdr:col>18</xdr:col>
      <xdr:colOff>210820</xdr:colOff>
      <xdr:row>2</xdr:row>
      <xdr:rowOff>38100</xdr:rowOff>
    </xdr:from>
    <xdr:to>
      <xdr:col>19</xdr:col>
      <xdr:colOff>564053</xdr:colOff>
      <xdr:row>2</xdr:row>
      <xdr:rowOff>39624</xdr:rowOff>
    </xdr:to>
    <xdr:sp macro="" textlink="">
      <xdr:nvSpPr>
        <xdr:cNvPr id="7" name="Text Box 2"/>
        <xdr:cNvSpPr txBox="1">
          <a:spLocks noChangeArrowheads="1"/>
        </xdr:cNvSpPr>
      </xdr:nvSpPr>
      <xdr:spPr>
        <a:xfrm>
          <a:off x="26804620" y="381000"/>
          <a:ext cx="1715308" cy="1524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id-ID" sz="700" b="0" i="0" strike="noStrike">
              <a:solidFill>
                <a:srgbClr val="000000"/>
              </a:solidFill>
              <a:latin typeface="Tahoma" panose="020B0604030504040204"/>
              <a:cs typeface="Tahoma" panose="020B0604030504040204"/>
            </a:rPr>
            <a:t>LAMPIRAN III</a:t>
          </a:r>
          <a:r>
            <a:rPr lang="id-ID" sz="700" b="0" i="0" strike="noStrike" baseline="0">
              <a:solidFill>
                <a:srgbClr val="000000"/>
              </a:solidFill>
              <a:latin typeface="Tahoma" panose="020B0604030504040204"/>
              <a:cs typeface="Tahoma" panose="020B0604030504040204"/>
            </a:rPr>
            <a:t> </a:t>
          </a:r>
        </a:p>
        <a:p>
          <a:pPr algn="l" rtl="1">
            <a:defRPr sz="1000"/>
          </a:pPr>
          <a:r>
            <a:rPr lang="id-ID" sz="700" b="0" i="0" strike="noStrike">
              <a:solidFill>
                <a:srgbClr val="000000"/>
              </a:solidFill>
              <a:latin typeface="Tahoma" panose="020B0604030504040204"/>
              <a:cs typeface="Tahoma" panose="020B0604030504040204"/>
            </a:rPr>
            <a:t>Catatan</a:t>
          </a:r>
          <a:r>
            <a:rPr lang="id-ID" sz="700" b="0" i="0" strike="noStrike" baseline="0">
              <a:solidFill>
                <a:srgbClr val="000000"/>
              </a:solidFill>
              <a:latin typeface="Tahoma" panose="020B0604030504040204"/>
              <a:cs typeface="Tahoma" panose="020B0604030504040204"/>
            </a:rPr>
            <a:t> atas Laporan Keuangan 2016</a:t>
          </a:r>
          <a:endParaRPr lang="en-US" sz="700" b="0" i="0" strike="noStrike">
            <a:solidFill>
              <a:srgbClr val="000000"/>
            </a:solidFill>
            <a:latin typeface="Tahoma" panose="020B0604030504040204"/>
            <a:cs typeface="Tahoma" panose="020B0604030504040204"/>
          </a:endParaRPr>
        </a:p>
      </xdr:txBody>
    </xdr:sp>
    <xdr:clientData/>
  </xdr:twoCellAnchor>
  <xdr:twoCellAnchor>
    <xdr:from>
      <xdr:col>1</xdr:col>
      <xdr:colOff>314325</xdr:colOff>
      <xdr:row>1</xdr:row>
      <xdr:rowOff>57149</xdr:rowOff>
    </xdr:from>
    <xdr:to>
      <xdr:col>1</xdr:col>
      <xdr:colOff>692149</xdr:colOff>
      <xdr:row>3</xdr:row>
      <xdr:rowOff>180974</xdr:rowOff>
    </xdr:to>
    <xdr:pic>
      <xdr:nvPicPr>
        <xdr:cNvPr id="9" name="Picture 424" descr="lambang daerah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23850" y="200024"/>
          <a:ext cx="377824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0</xdr:row>
      <xdr:rowOff>19050</xdr:rowOff>
    </xdr:from>
    <xdr:to>
      <xdr:col>8</xdr:col>
      <xdr:colOff>589788</xdr:colOff>
      <xdr:row>0</xdr:row>
      <xdr:rowOff>27644</xdr:rowOff>
    </xdr:to>
    <xdr:sp macro="" textlink="">
      <xdr:nvSpPr>
        <xdr:cNvPr id="3" name="Text Box 2"/>
        <xdr:cNvSpPr txBox="1">
          <a:spLocks noChangeArrowheads="1"/>
        </xdr:cNvSpPr>
      </xdr:nvSpPr>
      <xdr:spPr>
        <a:xfrm>
          <a:off x="7572375" y="19050"/>
          <a:ext cx="1179830" cy="8255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id-ID" sz="700" b="0" i="0" strike="noStrike">
              <a:solidFill>
                <a:srgbClr val="000000"/>
              </a:solidFill>
              <a:latin typeface="Tahoma" panose="020B0604030504040204"/>
              <a:cs typeface="Tahoma" panose="020B0604030504040204"/>
            </a:rPr>
            <a:t>LAMPIRAN</a:t>
          </a:r>
          <a:r>
            <a:rPr lang="id-ID" sz="700" b="0" i="0" strike="noStrike" baseline="0">
              <a:solidFill>
                <a:srgbClr val="000000"/>
              </a:solidFill>
              <a:latin typeface="Tahoma" panose="020B0604030504040204"/>
              <a:cs typeface="Tahoma" panose="020B0604030504040204"/>
            </a:rPr>
            <a:t> VIII</a:t>
          </a:r>
        </a:p>
        <a:p>
          <a:pPr algn="l" rtl="1">
            <a:defRPr sz="1000"/>
          </a:pPr>
          <a:r>
            <a:rPr lang="id-ID" sz="700" b="0" i="0" strike="noStrike">
              <a:solidFill>
                <a:srgbClr val="000000"/>
              </a:solidFill>
              <a:latin typeface="Tahoma" panose="020B0604030504040204"/>
              <a:cs typeface="Tahoma" panose="020B0604030504040204"/>
            </a:rPr>
            <a:t>Catatan</a:t>
          </a:r>
          <a:r>
            <a:rPr lang="id-ID" sz="700" b="0" i="0" strike="noStrike" baseline="0">
              <a:solidFill>
                <a:srgbClr val="000000"/>
              </a:solidFill>
              <a:latin typeface="Tahoma" panose="020B0604030504040204"/>
              <a:cs typeface="Tahoma" panose="020B0604030504040204"/>
            </a:rPr>
            <a:t> atas Laporan Keuangan 2014</a:t>
          </a:r>
          <a:endParaRPr lang="en-US" sz="700" b="0" i="0" strike="noStrike">
            <a:solidFill>
              <a:srgbClr val="000000"/>
            </a:solidFill>
            <a:latin typeface="Tahoma" panose="020B0604030504040204"/>
            <a:cs typeface="Tahoma" panose="020B0604030504040204"/>
          </a:endParaRPr>
        </a:p>
      </xdr:txBody>
    </xdr:sp>
    <xdr:clientData/>
  </xdr:twoCellAnchor>
  <xdr:twoCellAnchor editAs="oneCell">
    <xdr:from>
      <xdr:col>3</xdr:col>
      <xdr:colOff>895350</xdr:colOff>
      <xdr:row>0</xdr:row>
      <xdr:rowOff>7620</xdr:rowOff>
    </xdr:from>
    <xdr:to>
      <xdr:col>4</xdr:col>
      <xdr:colOff>1104900</xdr:colOff>
      <xdr:row>2</xdr:row>
      <xdr:rowOff>161925</xdr:rowOff>
    </xdr:to>
    <xdr:sp macro="" textlink="">
      <xdr:nvSpPr>
        <xdr:cNvPr id="4" name="Text Box 2"/>
        <xdr:cNvSpPr txBox="1">
          <a:spLocks noChangeArrowheads="1"/>
        </xdr:cNvSpPr>
      </xdr:nvSpPr>
      <xdr:spPr>
        <a:xfrm>
          <a:off x="4943475" y="7620"/>
          <a:ext cx="1371600" cy="535305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id-ID" sz="700" b="0" i="0" strike="noStrike">
              <a:solidFill>
                <a:srgbClr val="000000"/>
              </a:solidFill>
              <a:latin typeface="Tahoma" panose="020B0604030504040204"/>
              <a:cs typeface="Tahoma" panose="020B0604030504040204"/>
            </a:rPr>
            <a:t>LAMPIRAN</a:t>
          </a:r>
          <a:r>
            <a:rPr lang="id-ID" sz="700" b="0" i="0" strike="noStrike" baseline="0">
              <a:solidFill>
                <a:srgbClr val="000000"/>
              </a:solidFill>
              <a:latin typeface="Tahoma" panose="020B0604030504040204"/>
              <a:cs typeface="Tahoma" panose="020B0604030504040204"/>
            </a:rPr>
            <a:t> XXII</a:t>
          </a:r>
          <a:r>
            <a:rPr lang="en-US" sz="700" b="0" i="0" strike="noStrike" baseline="0">
              <a:solidFill>
                <a:srgbClr val="000000"/>
              </a:solidFill>
              <a:latin typeface="Tahoma" panose="020B0604030504040204"/>
              <a:cs typeface="Tahoma" panose="020B0604030504040204"/>
            </a:rPr>
            <a:t>I</a:t>
          </a:r>
          <a:endParaRPr lang="id-ID" sz="700" b="0" i="0" strike="noStrike" baseline="0">
            <a:solidFill>
              <a:srgbClr val="000000"/>
            </a:solidFill>
            <a:latin typeface="Tahoma" panose="020B0604030504040204"/>
            <a:cs typeface="Tahoma" panose="020B0604030504040204"/>
          </a:endParaRPr>
        </a:p>
        <a:p>
          <a:pPr algn="l" rtl="1">
            <a:defRPr sz="1000"/>
          </a:pPr>
          <a:r>
            <a:rPr lang="en-US" sz="700" b="0" i="0" strike="noStrike" baseline="0">
              <a:solidFill>
                <a:srgbClr val="000000"/>
              </a:solidFill>
              <a:latin typeface="Tahoma" panose="020B0604030504040204"/>
              <a:cs typeface="Tahoma" panose="020B0604030504040204"/>
            </a:rPr>
            <a:t> </a:t>
          </a:r>
          <a:r>
            <a:rPr lang="id-ID" sz="700" b="0" i="0" strike="noStrike">
              <a:solidFill>
                <a:srgbClr val="000000"/>
              </a:solidFill>
              <a:latin typeface="Tahoma" panose="020B0604030504040204"/>
              <a:cs typeface="Tahoma" panose="020B0604030504040204"/>
            </a:rPr>
            <a:t>Catatan</a:t>
          </a:r>
          <a:r>
            <a:rPr lang="id-ID" sz="700" b="0" i="0" strike="noStrike" baseline="0">
              <a:solidFill>
                <a:srgbClr val="000000"/>
              </a:solidFill>
              <a:latin typeface="Tahoma" panose="020B0604030504040204"/>
              <a:cs typeface="Tahoma" panose="020B0604030504040204"/>
            </a:rPr>
            <a:t> atas Laporan Keuangan 2018</a:t>
          </a:r>
          <a:endParaRPr lang="en-US" sz="700" b="0" i="0" strike="noStrike">
            <a:solidFill>
              <a:srgbClr val="000000"/>
            </a:solidFill>
            <a:latin typeface="Tahoma" panose="020B0604030504040204"/>
            <a:cs typeface="Tahoma" panose="020B0604030504040204"/>
          </a:endParaRPr>
        </a:p>
      </xdr:txBody>
    </xdr:sp>
    <xdr:clientData/>
  </xdr:twoCellAnchor>
  <xdr:twoCellAnchor>
    <xdr:from>
      <xdr:col>0</xdr:col>
      <xdr:colOff>142875</xdr:colOff>
      <xdr:row>1</xdr:row>
      <xdr:rowOff>0</xdr:rowOff>
    </xdr:from>
    <xdr:to>
      <xdr:col>1</xdr:col>
      <xdr:colOff>6349</xdr:colOff>
      <xdr:row>3</xdr:row>
      <xdr:rowOff>37042</xdr:rowOff>
    </xdr:to>
    <xdr:pic>
      <xdr:nvPicPr>
        <xdr:cNvPr id="5" name="Picture 424" descr="lambang daerah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42875" y="190500"/>
          <a:ext cx="377190" cy="4178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295275</xdr:colOff>
      <xdr:row>1</xdr:row>
      <xdr:rowOff>104775</xdr:rowOff>
    </xdr:from>
    <xdr:to>
      <xdr:col>3</xdr:col>
      <xdr:colOff>95250</xdr:colOff>
      <xdr:row>3</xdr:row>
      <xdr:rowOff>142875</xdr:rowOff>
    </xdr:to>
    <xdr:sp macro="" textlink="">
      <xdr:nvSpPr>
        <xdr:cNvPr id="3" name="Text Box 2"/>
        <xdr:cNvSpPr txBox="1">
          <a:spLocks noChangeArrowheads="1"/>
        </xdr:cNvSpPr>
      </xdr:nvSpPr>
      <xdr:spPr>
        <a:xfrm>
          <a:off x="4591050" y="295275"/>
          <a:ext cx="1647825" cy="41910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id-ID" sz="700" b="0" i="0" strike="noStrike">
              <a:solidFill>
                <a:srgbClr val="000000"/>
              </a:solidFill>
              <a:latin typeface="Tahoma" panose="020B0604030504040204"/>
              <a:cs typeface="Tahoma" panose="020B0604030504040204"/>
            </a:rPr>
            <a:t>LAMPIRAN</a:t>
          </a:r>
          <a:r>
            <a:rPr lang="id-ID" sz="700" b="0" i="0" strike="noStrike" baseline="0">
              <a:solidFill>
                <a:srgbClr val="000000"/>
              </a:solidFill>
              <a:latin typeface="Tahoma" panose="020B0604030504040204"/>
              <a:cs typeface="Tahoma" panose="020B0604030504040204"/>
            </a:rPr>
            <a:t> XXI</a:t>
          </a:r>
          <a:r>
            <a:rPr lang="en-US" sz="700" b="0" i="0" strike="noStrike" baseline="0">
              <a:solidFill>
                <a:srgbClr val="000000"/>
              </a:solidFill>
              <a:latin typeface="Tahoma" panose="020B0604030504040204"/>
              <a:cs typeface="Tahoma" panose="020B0604030504040204"/>
            </a:rPr>
            <a:t>V</a:t>
          </a:r>
          <a:r>
            <a:rPr lang="id-ID" sz="1000" b="0" i="0" u="none" strike="noStrike">
              <a:latin typeface="+mn-lt"/>
              <a:ea typeface="+mn-ea"/>
              <a:cs typeface="+mn-cs"/>
            </a:rPr>
            <a:t> </a:t>
          </a:r>
        </a:p>
        <a:p>
          <a:pPr algn="l" rtl="1">
            <a:defRPr sz="1000"/>
          </a:pPr>
          <a:r>
            <a:rPr lang="en-US" sz="700" b="0" i="0" strike="noStrike" baseline="0">
              <a:solidFill>
                <a:srgbClr val="000000"/>
              </a:solidFill>
              <a:latin typeface="Tahoma" panose="020B0604030504040204"/>
              <a:cs typeface="Tahoma" panose="020B0604030504040204"/>
            </a:rPr>
            <a:t> </a:t>
          </a:r>
          <a:r>
            <a:rPr lang="id-ID" sz="700" b="0" i="0" strike="noStrike">
              <a:solidFill>
                <a:srgbClr val="000000"/>
              </a:solidFill>
              <a:latin typeface="Tahoma" panose="020B0604030504040204"/>
              <a:cs typeface="Tahoma" panose="020B0604030504040204"/>
            </a:rPr>
            <a:t>Catatan</a:t>
          </a:r>
          <a:r>
            <a:rPr lang="id-ID" sz="700" b="0" i="0" strike="noStrike" baseline="0">
              <a:solidFill>
                <a:srgbClr val="000000"/>
              </a:solidFill>
              <a:latin typeface="Tahoma" panose="020B0604030504040204"/>
              <a:cs typeface="Tahoma" panose="020B0604030504040204"/>
            </a:rPr>
            <a:t> atas Laporan Keuangan 2018</a:t>
          </a:r>
          <a:endParaRPr lang="en-US" sz="700" b="0" i="0" strike="noStrike">
            <a:solidFill>
              <a:srgbClr val="000000"/>
            </a:solidFill>
            <a:latin typeface="Tahoma" panose="020B0604030504040204"/>
            <a:cs typeface="Tahoma" panose="020B0604030504040204"/>
          </a:endParaRPr>
        </a:p>
      </xdr:txBody>
    </xdr:sp>
    <xdr:clientData/>
  </xdr:twoCellAnchor>
  <xdr:twoCellAnchor>
    <xdr:from>
      <xdr:col>0</xdr:col>
      <xdr:colOff>76200</xdr:colOff>
      <xdr:row>0</xdr:row>
      <xdr:rowOff>66675</xdr:rowOff>
    </xdr:from>
    <xdr:to>
      <xdr:col>0</xdr:col>
      <xdr:colOff>454024</xdr:colOff>
      <xdr:row>2</xdr:row>
      <xdr:rowOff>103717</xdr:rowOff>
    </xdr:to>
    <xdr:pic>
      <xdr:nvPicPr>
        <xdr:cNvPr id="4" name="Picture 424" descr="lambang daerah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76200" y="66675"/>
          <a:ext cx="377190" cy="4178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323850</xdr:colOff>
      <xdr:row>1</xdr:row>
      <xdr:rowOff>28575</xdr:rowOff>
    </xdr:from>
    <xdr:to>
      <xdr:col>3</xdr:col>
      <xdr:colOff>0</xdr:colOff>
      <xdr:row>3</xdr:row>
      <xdr:rowOff>7620</xdr:rowOff>
    </xdr:to>
    <xdr:sp macro="" textlink="">
      <xdr:nvSpPr>
        <xdr:cNvPr id="3" name="Text Box 2"/>
        <xdr:cNvSpPr txBox="1">
          <a:spLocks noChangeArrowheads="1"/>
        </xdr:cNvSpPr>
      </xdr:nvSpPr>
      <xdr:spPr>
        <a:xfrm>
          <a:off x="3933825" y="219075"/>
          <a:ext cx="1571625" cy="360045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id-ID" sz="700" b="0" i="0" strike="noStrike">
              <a:solidFill>
                <a:srgbClr val="000000"/>
              </a:solidFill>
              <a:latin typeface="Tahoma" panose="020B0604030504040204"/>
              <a:cs typeface="Tahoma" panose="020B0604030504040204"/>
            </a:rPr>
            <a:t>LAMPIRAN</a:t>
          </a:r>
          <a:r>
            <a:rPr lang="id-ID" sz="700" b="0" i="0" strike="noStrike" baseline="0">
              <a:solidFill>
                <a:srgbClr val="000000"/>
              </a:solidFill>
              <a:latin typeface="Tahoma" panose="020B0604030504040204"/>
              <a:cs typeface="Tahoma" panose="020B0604030504040204"/>
            </a:rPr>
            <a:t> XX</a:t>
          </a:r>
          <a:r>
            <a:rPr lang="en-US" sz="700" b="0" i="0" strike="noStrike" baseline="0">
              <a:solidFill>
                <a:srgbClr val="000000"/>
              </a:solidFill>
              <a:latin typeface="Tahoma" panose="020B0604030504040204"/>
              <a:cs typeface="Tahoma" panose="020B0604030504040204"/>
            </a:rPr>
            <a:t>V</a:t>
          </a:r>
          <a:endParaRPr lang="id-ID" sz="700" b="0" i="0" strike="noStrike" baseline="0">
            <a:solidFill>
              <a:srgbClr val="000000"/>
            </a:solidFill>
            <a:latin typeface="Tahoma" panose="020B0604030504040204"/>
            <a:cs typeface="Tahoma" panose="020B0604030504040204"/>
          </a:endParaRPr>
        </a:p>
        <a:p>
          <a:pPr algn="l" rtl="1">
            <a:defRPr sz="1000"/>
          </a:pPr>
          <a:r>
            <a:rPr lang="en-US" sz="700" b="0" i="0" strike="noStrike" baseline="0">
              <a:solidFill>
                <a:srgbClr val="000000"/>
              </a:solidFill>
              <a:latin typeface="Tahoma" panose="020B0604030504040204"/>
              <a:cs typeface="Tahoma" panose="020B0604030504040204"/>
            </a:rPr>
            <a:t> </a:t>
          </a:r>
          <a:r>
            <a:rPr lang="id-ID" sz="700" b="0" i="0" strike="noStrike">
              <a:solidFill>
                <a:srgbClr val="000000"/>
              </a:solidFill>
              <a:latin typeface="Tahoma" panose="020B0604030504040204"/>
              <a:cs typeface="Tahoma" panose="020B0604030504040204"/>
            </a:rPr>
            <a:t>Catatan</a:t>
          </a:r>
          <a:r>
            <a:rPr lang="id-ID" sz="700" b="0" i="0" strike="noStrike" baseline="0">
              <a:solidFill>
                <a:srgbClr val="000000"/>
              </a:solidFill>
              <a:latin typeface="Tahoma" panose="020B0604030504040204"/>
              <a:cs typeface="Tahoma" panose="020B0604030504040204"/>
            </a:rPr>
            <a:t> atas Laporan Keuangan 2018</a:t>
          </a:r>
          <a:endParaRPr lang="en-US" sz="700" b="0" i="0" strike="noStrike">
            <a:solidFill>
              <a:srgbClr val="000000"/>
            </a:solidFill>
            <a:latin typeface="Tahoma" panose="020B0604030504040204"/>
            <a:cs typeface="Tahoma" panose="020B0604030504040204"/>
          </a:endParaRPr>
        </a:p>
      </xdr:txBody>
    </xdr:sp>
    <xdr:clientData/>
  </xdr:twoCellAnchor>
  <xdr:twoCellAnchor>
    <xdr:from>
      <xdr:col>0</xdr:col>
      <xdr:colOff>219075</xdr:colOff>
      <xdr:row>0</xdr:row>
      <xdr:rowOff>95250</xdr:rowOff>
    </xdr:from>
    <xdr:to>
      <xdr:col>1</xdr:col>
      <xdr:colOff>82549</xdr:colOff>
      <xdr:row>2</xdr:row>
      <xdr:rowOff>132292</xdr:rowOff>
    </xdr:to>
    <xdr:pic>
      <xdr:nvPicPr>
        <xdr:cNvPr id="4" name="Picture 424" descr="lambang daerah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219075" y="95250"/>
          <a:ext cx="377190" cy="4178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590550</xdr:colOff>
      <xdr:row>0</xdr:row>
      <xdr:rowOff>137161</xdr:rowOff>
    </xdr:from>
    <xdr:to>
      <xdr:col>6</xdr:col>
      <xdr:colOff>731520</xdr:colOff>
      <xdr:row>2</xdr:row>
      <xdr:rowOff>45721</xdr:rowOff>
    </xdr:to>
    <xdr:sp macro="" textlink="">
      <xdr:nvSpPr>
        <xdr:cNvPr id="3" name="Text Box 2"/>
        <xdr:cNvSpPr txBox="1">
          <a:spLocks noChangeArrowheads="1"/>
        </xdr:cNvSpPr>
      </xdr:nvSpPr>
      <xdr:spPr>
        <a:xfrm>
          <a:off x="6438900" y="137161"/>
          <a:ext cx="1150620" cy="28956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id-ID" sz="700" b="0" i="0" strike="noStrike">
              <a:solidFill>
                <a:srgbClr val="000000"/>
              </a:solidFill>
              <a:latin typeface="Tahoma" panose="020B0604030504040204"/>
              <a:cs typeface="Tahoma" panose="020B0604030504040204"/>
            </a:rPr>
            <a:t>LAMPIRAN</a:t>
          </a:r>
          <a:r>
            <a:rPr lang="id-ID" sz="700" b="0" i="0" strike="noStrike" baseline="0">
              <a:solidFill>
                <a:srgbClr val="000000"/>
              </a:solidFill>
              <a:latin typeface="Tahoma" panose="020B0604030504040204"/>
              <a:cs typeface="Tahoma" panose="020B0604030504040204"/>
            </a:rPr>
            <a:t> XX</a:t>
          </a:r>
          <a:r>
            <a:rPr lang="en-US" sz="700" b="0" i="0" strike="noStrike" baseline="0">
              <a:solidFill>
                <a:srgbClr val="000000"/>
              </a:solidFill>
              <a:latin typeface="Tahoma" panose="020B0604030504040204"/>
              <a:cs typeface="Tahoma" panose="020B0604030504040204"/>
            </a:rPr>
            <a:t>VI </a:t>
          </a:r>
          <a:r>
            <a:rPr lang="id-ID" sz="700" b="0" i="0" strike="noStrike">
              <a:solidFill>
                <a:srgbClr val="000000"/>
              </a:solidFill>
              <a:latin typeface="Tahoma" panose="020B0604030504040204"/>
              <a:cs typeface="Tahoma" panose="020B0604030504040204"/>
            </a:rPr>
            <a:t>Catatan</a:t>
          </a:r>
          <a:r>
            <a:rPr lang="id-ID" sz="700" b="0" i="0" strike="noStrike" baseline="0">
              <a:solidFill>
                <a:srgbClr val="000000"/>
              </a:solidFill>
              <a:latin typeface="Tahoma" panose="020B0604030504040204"/>
              <a:cs typeface="Tahoma" panose="020B0604030504040204"/>
            </a:rPr>
            <a:t> atas Laporan Keuangan 2018</a:t>
          </a:r>
          <a:endParaRPr lang="en-US" sz="700" b="0" i="0" strike="noStrike">
            <a:solidFill>
              <a:srgbClr val="000000"/>
            </a:solidFill>
            <a:latin typeface="Tahoma" panose="020B0604030504040204"/>
            <a:cs typeface="Tahoma" panose="020B0604030504040204"/>
          </a:endParaRPr>
        </a:p>
      </xdr:txBody>
    </xdr:sp>
    <xdr:clientData/>
  </xdr:twoCellAnchor>
  <xdr:twoCellAnchor>
    <xdr:from>
      <xdr:col>0</xdr:col>
      <xdr:colOff>123825</xdr:colOff>
      <xdr:row>0</xdr:row>
      <xdr:rowOff>171450</xdr:rowOff>
    </xdr:from>
    <xdr:to>
      <xdr:col>1</xdr:col>
      <xdr:colOff>273049</xdr:colOff>
      <xdr:row>3</xdr:row>
      <xdr:rowOff>17992</xdr:rowOff>
    </xdr:to>
    <xdr:pic>
      <xdr:nvPicPr>
        <xdr:cNvPr id="4" name="Picture 424" descr="lambang daerah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71450"/>
          <a:ext cx="377824" cy="4180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422911</xdr:colOff>
      <xdr:row>0</xdr:row>
      <xdr:rowOff>169546</xdr:rowOff>
    </xdr:from>
    <xdr:to>
      <xdr:col>6</xdr:col>
      <xdr:colOff>76201</xdr:colOff>
      <xdr:row>3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>
        <a:xfrm>
          <a:off x="5166360" y="169545"/>
          <a:ext cx="1653540" cy="401955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id-ID" sz="700" b="0" i="0" strike="noStrike">
              <a:solidFill>
                <a:srgbClr val="000000"/>
              </a:solidFill>
              <a:latin typeface="Tahoma" panose="020B0604030504040204"/>
              <a:cs typeface="Tahoma" panose="020B0604030504040204"/>
            </a:rPr>
            <a:t>LAMPIRAN</a:t>
          </a:r>
          <a:r>
            <a:rPr lang="id-ID" sz="700" b="0" i="0" strike="noStrike" baseline="0">
              <a:solidFill>
                <a:srgbClr val="000000"/>
              </a:solidFill>
              <a:latin typeface="Tahoma" panose="020B0604030504040204"/>
              <a:cs typeface="Tahoma" panose="020B0604030504040204"/>
            </a:rPr>
            <a:t> XX</a:t>
          </a:r>
          <a:r>
            <a:rPr lang="en-US" sz="700" b="0" i="0" strike="noStrike" baseline="0">
              <a:solidFill>
                <a:srgbClr val="000000"/>
              </a:solidFill>
              <a:latin typeface="Tahoma" panose="020B0604030504040204"/>
              <a:cs typeface="Tahoma" panose="020B0604030504040204"/>
            </a:rPr>
            <a:t>VII</a:t>
          </a:r>
          <a:endParaRPr lang="id-ID" sz="700" b="0" i="0" strike="noStrike" baseline="0">
            <a:solidFill>
              <a:srgbClr val="000000"/>
            </a:solidFill>
            <a:latin typeface="Tahoma" panose="020B0604030504040204"/>
            <a:cs typeface="Tahoma" panose="020B0604030504040204"/>
          </a:endParaRPr>
        </a:p>
        <a:p>
          <a:pPr algn="l" rtl="1">
            <a:defRPr sz="1000"/>
          </a:pPr>
          <a:r>
            <a:rPr lang="en-US" sz="700" b="0" i="0" strike="noStrike" baseline="0">
              <a:solidFill>
                <a:srgbClr val="000000"/>
              </a:solidFill>
              <a:latin typeface="Tahoma" panose="020B0604030504040204"/>
              <a:cs typeface="Tahoma" panose="020B0604030504040204"/>
            </a:rPr>
            <a:t> </a:t>
          </a:r>
          <a:r>
            <a:rPr lang="id-ID" sz="700" b="0" i="0" strike="noStrike">
              <a:solidFill>
                <a:srgbClr val="000000"/>
              </a:solidFill>
              <a:latin typeface="Tahoma" panose="020B0604030504040204"/>
              <a:cs typeface="Tahoma" panose="020B0604030504040204"/>
            </a:rPr>
            <a:t>Catatan</a:t>
          </a:r>
          <a:r>
            <a:rPr lang="id-ID" sz="700" b="0" i="0" strike="noStrike" baseline="0">
              <a:solidFill>
                <a:srgbClr val="000000"/>
              </a:solidFill>
              <a:latin typeface="Tahoma" panose="020B0604030504040204"/>
              <a:cs typeface="Tahoma" panose="020B0604030504040204"/>
            </a:rPr>
            <a:t> atas Laporan Keuangan 2018</a:t>
          </a:r>
          <a:endParaRPr lang="en-US" sz="700" b="0" i="0" strike="noStrike">
            <a:solidFill>
              <a:srgbClr val="000000"/>
            </a:solidFill>
            <a:latin typeface="Tahoma" panose="020B0604030504040204"/>
            <a:cs typeface="Tahoma" panose="020B0604030504040204"/>
          </a:endParaRPr>
        </a:p>
      </xdr:txBody>
    </xdr:sp>
    <xdr:clientData/>
  </xdr:twoCellAnchor>
  <xdr:twoCellAnchor>
    <xdr:from>
      <xdr:col>0</xdr:col>
      <xdr:colOff>219075</xdr:colOff>
      <xdr:row>0</xdr:row>
      <xdr:rowOff>133350</xdr:rowOff>
    </xdr:from>
    <xdr:to>
      <xdr:col>1</xdr:col>
      <xdr:colOff>368299</xdr:colOff>
      <xdr:row>2</xdr:row>
      <xdr:rowOff>170392</xdr:rowOff>
    </xdr:to>
    <xdr:pic>
      <xdr:nvPicPr>
        <xdr:cNvPr id="4" name="Picture 424" descr="lambang daerah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219075" y="133350"/>
          <a:ext cx="377190" cy="4178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712470</xdr:colOff>
      <xdr:row>1</xdr:row>
      <xdr:rowOff>89536</xdr:rowOff>
    </xdr:from>
    <xdr:to>
      <xdr:col>4</xdr:col>
      <xdr:colOff>952500</xdr:colOff>
      <xdr:row>3</xdr:row>
      <xdr:rowOff>171450</xdr:rowOff>
    </xdr:to>
    <xdr:sp macro="" textlink="">
      <xdr:nvSpPr>
        <xdr:cNvPr id="3" name="Text Box 2"/>
        <xdr:cNvSpPr txBox="1">
          <a:spLocks noChangeArrowheads="1"/>
        </xdr:cNvSpPr>
      </xdr:nvSpPr>
      <xdr:spPr>
        <a:xfrm>
          <a:off x="5160645" y="280035"/>
          <a:ext cx="1363980" cy="462915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id-ID" sz="700" b="0" i="0" strike="noStrike">
              <a:solidFill>
                <a:srgbClr val="000000"/>
              </a:solidFill>
              <a:latin typeface="Tahoma" panose="020B0604030504040204"/>
              <a:cs typeface="Tahoma" panose="020B0604030504040204"/>
            </a:rPr>
            <a:t>LAMPIRAN</a:t>
          </a:r>
          <a:r>
            <a:rPr lang="id-ID" sz="700" b="0" i="0" strike="noStrike" baseline="0">
              <a:solidFill>
                <a:srgbClr val="000000"/>
              </a:solidFill>
              <a:latin typeface="Tahoma" panose="020B0604030504040204"/>
              <a:cs typeface="Tahoma" panose="020B0604030504040204"/>
            </a:rPr>
            <a:t> XX</a:t>
          </a:r>
          <a:r>
            <a:rPr lang="en-US" sz="700" b="0" i="0" strike="noStrike" baseline="0">
              <a:solidFill>
                <a:srgbClr val="000000"/>
              </a:solidFill>
              <a:latin typeface="Tahoma" panose="020B0604030504040204"/>
              <a:cs typeface="Tahoma" panose="020B0604030504040204"/>
            </a:rPr>
            <a:t>VIII </a:t>
          </a:r>
          <a:endParaRPr lang="id-ID" sz="700" b="0" i="0" strike="noStrike" baseline="0">
            <a:solidFill>
              <a:srgbClr val="000000"/>
            </a:solidFill>
            <a:latin typeface="Tahoma" panose="020B0604030504040204"/>
            <a:cs typeface="Tahoma" panose="020B0604030504040204"/>
          </a:endParaRPr>
        </a:p>
        <a:p>
          <a:pPr algn="l" rtl="1">
            <a:defRPr sz="1000"/>
          </a:pPr>
          <a:r>
            <a:rPr lang="id-ID" sz="700" b="0" i="0" strike="noStrike">
              <a:solidFill>
                <a:srgbClr val="000000"/>
              </a:solidFill>
              <a:latin typeface="Tahoma" panose="020B0604030504040204"/>
              <a:cs typeface="Tahoma" panose="020B0604030504040204"/>
            </a:rPr>
            <a:t>Catatan</a:t>
          </a:r>
          <a:r>
            <a:rPr lang="id-ID" sz="700" b="0" i="0" strike="noStrike" baseline="0">
              <a:solidFill>
                <a:srgbClr val="000000"/>
              </a:solidFill>
              <a:latin typeface="Tahoma" panose="020B0604030504040204"/>
              <a:cs typeface="Tahoma" panose="020B0604030504040204"/>
            </a:rPr>
            <a:t> atas Laporan Keuangan 2018</a:t>
          </a:r>
          <a:endParaRPr lang="en-US" sz="700" b="0" i="0" strike="noStrike">
            <a:solidFill>
              <a:srgbClr val="000000"/>
            </a:solidFill>
            <a:latin typeface="Tahoma" panose="020B0604030504040204"/>
            <a:cs typeface="Tahoma" panose="020B0604030504040204"/>
          </a:endParaRPr>
        </a:p>
      </xdr:txBody>
    </xdr:sp>
    <xdr:clientData/>
  </xdr:twoCellAnchor>
  <xdr:twoCellAnchor>
    <xdr:from>
      <xdr:col>1</xdr:col>
      <xdr:colOff>114300</xdr:colOff>
      <xdr:row>0</xdr:row>
      <xdr:rowOff>95250</xdr:rowOff>
    </xdr:from>
    <xdr:to>
      <xdr:col>1</xdr:col>
      <xdr:colOff>492124</xdr:colOff>
      <xdr:row>3</xdr:row>
      <xdr:rowOff>0</xdr:rowOff>
    </xdr:to>
    <xdr:pic>
      <xdr:nvPicPr>
        <xdr:cNvPr id="4" name="Picture 424" descr="lambang daerah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42900" y="95250"/>
          <a:ext cx="377824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70485</xdr:colOff>
      <xdr:row>1</xdr:row>
      <xdr:rowOff>95250</xdr:rowOff>
    </xdr:from>
    <xdr:to>
      <xdr:col>2</xdr:col>
      <xdr:colOff>1485900</xdr:colOff>
      <xdr:row>3</xdr:row>
      <xdr:rowOff>118109</xdr:rowOff>
    </xdr:to>
    <xdr:sp macro="" textlink="">
      <xdr:nvSpPr>
        <xdr:cNvPr id="3" name="Text Box 2"/>
        <xdr:cNvSpPr txBox="1">
          <a:spLocks noChangeArrowheads="1"/>
        </xdr:cNvSpPr>
      </xdr:nvSpPr>
      <xdr:spPr>
        <a:xfrm>
          <a:off x="4832985" y="285750"/>
          <a:ext cx="1415415" cy="403225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id-ID" sz="700" b="0" i="0" strike="noStrike">
              <a:solidFill>
                <a:srgbClr val="000000"/>
              </a:solidFill>
              <a:latin typeface="Tahoma" panose="020B0604030504040204"/>
              <a:cs typeface="Tahoma" panose="020B0604030504040204"/>
            </a:rPr>
            <a:t>LAMPIRAN</a:t>
          </a:r>
          <a:r>
            <a:rPr lang="id-ID" sz="700" b="0" i="0" strike="noStrike" baseline="0">
              <a:solidFill>
                <a:srgbClr val="000000"/>
              </a:solidFill>
              <a:latin typeface="Tahoma" panose="020B0604030504040204"/>
              <a:cs typeface="Tahoma" panose="020B0604030504040204"/>
            </a:rPr>
            <a:t> XX</a:t>
          </a:r>
          <a:r>
            <a:rPr lang="en-US" sz="700" b="0" i="0" strike="noStrike" baseline="0">
              <a:solidFill>
                <a:srgbClr val="000000"/>
              </a:solidFill>
              <a:latin typeface="Tahoma" panose="020B0604030504040204"/>
              <a:cs typeface="Tahoma" panose="020B0604030504040204"/>
            </a:rPr>
            <a:t>IX</a:t>
          </a:r>
        </a:p>
        <a:p>
          <a:pPr algn="l" rtl="1">
            <a:defRPr sz="1000"/>
          </a:pPr>
          <a:r>
            <a:rPr lang="en-US" sz="700" b="0" i="0" strike="noStrike" baseline="0">
              <a:solidFill>
                <a:srgbClr val="000000"/>
              </a:solidFill>
              <a:latin typeface="Tahoma" panose="020B0604030504040204"/>
              <a:cs typeface="Tahoma" panose="020B0604030504040204"/>
            </a:rPr>
            <a:t> </a:t>
          </a:r>
          <a:r>
            <a:rPr lang="id-ID" sz="700" b="0" i="0" strike="noStrike">
              <a:solidFill>
                <a:srgbClr val="000000"/>
              </a:solidFill>
              <a:latin typeface="Tahoma" panose="020B0604030504040204"/>
              <a:cs typeface="Tahoma" panose="020B0604030504040204"/>
            </a:rPr>
            <a:t>Catatan</a:t>
          </a:r>
          <a:r>
            <a:rPr lang="id-ID" sz="700" b="0" i="0" strike="noStrike" baseline="0">
              <a:solidFill>
                <a:srgbClr val="000000"/>
              </a:solidFill>
              <a:latin typeface="Tahoma" panose="020B0604030504040204"/>
              <a:cs typeface="Tahoma" panose="020B0604030504040204"/>
            </a:rPr>
            <a:t> atas Laporan Keuangan 2018</a:t>
          </a:r>
          <a:endParaRPr lang="en-US" sz="700" b="0" i="0" strike="noStrike">
            <a:solidFill>
              <a:srgbClr val="000000"/>
            </a:solidFill>
            <a:latin typeface="Tahoma" panose="020B0604030504040204"/>
            <a:cs typeface="Tahoma" panose="020B0604030504040204"/>
          </a:endParaRPr>
        </a:p>
      </xdr:txBody>
    </xdr:sp>
    <xdr:clientData/>
  </xdr:twoCellAnchor>
  <xdr:twoCellAnchor>
    <xdr:from>
      <xdr:col>0</xdr:col>
      <xdr:colOff>95250</xdr:colOff>
      <xdr:row>0</xdr:row>
      <xdr:rowOff>142875</xdr:rowOff>
    </xdr:from>
    <xdr:to>
      <xdr:col>0</xdr:col>
      <xdr:colOff>473074</xdr:colOff>
      <xdr:row>3</xdr:row>
      <xdr:rowOff>84667</xdr:rowOff>
    </xdr:to>
    <xdr:pic>
      <xdr:nvPicPr>
        <xdr:cNvPr id="4" name="Picture 424" descr="lambang daerah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95250" y="142875"/>
          <a:ext cx="377824" cy="5132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</xdr:colOff>
      <xdr:row>1</xdr:row>
      <xdr:rowOff>9525</xdr:rowOff>
    </xdr:from>
    <xdr:to>
      <xdr:col>2</xdr:col>
      <xdr:colOff>104775</xdr:colOff>
      <xdr:row>3</xdr:row>
      <xdr:rowOff>152400</xdr:rowOff>
    </xdr:to>
    <xdr:pic>
      <xdr:nvPicPr>
        <xdr:cNvPr id="112890" name="Picture 424" descr="lambang daerah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228600" y="209550"/>
          <a:ext cx="409575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1123950</xdr:colOff>
      <xdr:row>1</xdr:row>
      <xdr:rowOff>19050</xdr:rowOff>
    </xdr:from>
    <xdr:to>
      <xdr:col>7</xdr:col>
      <xdr:colOff>553593</xdr:colOff>
      <xdr:row>1</xdr:row>
      <xdr:rowOff>19431</xdr:rowOff>
    </xdr:to>
    <xdr:sp macro="" textlink="">
      <xdr:nvSpPr>
        <xdr:cNvPr id="2" name="Text Box 2"/>
        <xdr:cNvSpPr txBox="1">
          <a:spLocks noChangeArrowheads="1"/>
        </xdr:cNvSpPr>
      </xdr:nvSpPr>
      <xdr:spPr>
        <a:xfrm>
          <a:off x="8486775" y="219075"/>
          <a:ext cx="3115310" cy="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id-ID" sz="700" b="0" i="0" strike="noStrike">
              <a:solidFill>
                <a:srgbClr val="000000"/>
              </a:solidFill>
              <a:latin typeface="Tahoma" panose="020B0604030504040204"/>
              <a:cs typeface="Tahoma" panose="020B0604030504040204"/>
            </a:rPr>
            <a:t>LAMPIRAN</a:t>
          </a:r>
          <a:r>
            <a:rPr lang="id-ID" sz="700" b="0" i="0" strike="noStrike" baseline="0">
              <a:solidFill>
                <a:srgbClr val="000000"/>
              </a:solidFill>
              <a:latin typeface="Tahoma" panose="020B0604030504040204"/>
              <a:cs typeface="Tahoma" panose="020B0604030504040204"/>
            </a:rPr>
            <a:t> VIII</a:t>
          </a:r>
        </a:p>
        <a:p>
          <a:pPr algn="l" rtl="1">
            <a:defRPr sz="1000"/>
          </a:pPr>
          <a:r>
            <a:rPr lang="id-ID" sz="700" b="0" i="0" strike="noStrike">
              <a:solidFill>
                <a:srgbClr val="000000"/>
              </a:solidFill>
              <a:latin typeface="Tahoma" panose="020B0604030504040204"/>
              <a:cs typeface="Tahoma" panose="020B0604030504040204"/>
            </a:rPr>
            <a:t>Catatan</a:t>
          </a:r>
          <a:r>
            <a:rPr lang="id-ID" sz="700" b="0" i="0" strike="noStrike" baseline="0">
              <a:solidFill>
                <a:srgbClr val="000000"/>
              </a:solidFill>
              <a:latin typeface="Tahoma" panose="020B0604030504040204"/>
              <a:cs typeface="Tahoma" panose="020B0604030504040204"/>
            </a:rPr>
            <a:t> atas Laporan Keuangan 2014</a:t>
          </a:r>
          <a:endParaRPr lang="en-US" sz="700" b="0" i="0" strike="noStrike">
            <a:solidFill>
              <a:srgbClr val="000000"/>
            </a:solidFill>
            <a:latin typeface="Tahoma" panose="020B0604030504040204"/>
            <a:cs typeface="Tahoma" panose="020B0604030504040204"/>
          </a:endParaRPr>
        </a:p>
      </xdr:txBody>
    </xdr:sp>
    <xdr:clientData/>
  </xdr:twoCellAnchor>
  <xdr:twoCellAnchor editAs="oneCell">
    <xdr:from>
      <xdr:col>6</xdr:col>
      <xdr:colOff>28575</xdr:colOff>
      <xdr:row>1</xdr:row>
      <xdr:rowOff>95249</xdr:rowOff>
    </xdr:from>
    <xdr:to>
      <xdr:col>6</xdr:col>
      <xdr:colOff>1724025</xdr:colOff>
      <xdr:row>3</xdr:row>
      <xdr:rowOff>161924</xdr:rowOff>
    </xdr:to>
    <xdr:sp macro="" textlink="">
      <xdr:nvSpPr>
        <xdr:cNvPr id="3" name="Text Box 2"/>
        <xdr:cNvSpPr txBox="1">
          <a:spLocks noChangeArrowheads="1"/>
        </xdr:cNvSpPr>
      </xdr:nvSpPr>
      <xdr:spPr>
        <a:xfrm>
          <a:off x="9286875" y="294640"/>
          <a:ext cx="1695450" cy="447675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id-ID" sz="700" b="0" i="0" strike="noStrike">
              <a:solidFill>
                <a:srgbClr val="000000"/>
              </a:solidFill>
              <a:latin typeface="Tahoma" panose="020B0604030504040204"/>
              <a:cs typeface="Tahoma" panose="020B0604030504040204"/>
            </a:rPr>
            <a:t>LAMPIRAN</a:t>
          </a:r>
          <a:r>
            <a:rPr lang="id-ID" sz="700" b="0" i="0" strike="noStrike" baseline="0">
              <a:solidFill>
                <a:srgbClr val="000000"/>
              </a:solidFill>
              <a:latin typeface="Tahoma" panose="020B0604030504040204"/>
              <a:cs typeface="Tahoma" panose="020B0604030504040204"/>
            </a:rPr>
            <a:t> III </a:t>
          </a:r>
        </a:p>
        <a:p>
          <a:pPr algn="l" rtl="1">
            <a:defRPr sz="1000"/>
          </a:pPr>
          <a:r>
            <a:rPr lang="id-ID" sz="700" b="0" i="0" strike="noStrike">
              <a:solidFill>
                <a:srgbClr val="000000"/>
              </a:solidFill>
              <a:latin typeface="Tahoma" panose="020B0604030504040204"/>
              <a:cs typeface="Tahoma" panose="020B0604030504040204"/>
            </a:rPr>
            <a:t>Catatan</a:t>
          </a:r>
          <a:r>
            <a:rPr lang="id-ID" sz="700" b="0" i="0" strike="noStrike" baseline="0">
              <a:solidFill>
                <a:srgbClr val="000000"/>
              </a:solidFill>
              <a:latin typeface="Tahoma" panose="020B0604030504040204"/>
              <a:cs typeface="Tahoma" panose="020B0604030504040204"/>
            </a:rPr>
            <a:t> atas Laporan Keuangan 2018</a:t>
          </a:r>
          <a:endParaRPr lang="en-US" sz="700" b="0" i="0" strike="noStrike">
            <a:solidFill>
              <a:srgbClr val="000000"/>
            </a:solidFill>
            <a:latin typeface="Tahoma" panose="020B0604030504040204"/>
            <a:cs typeface="Tahoma" panose="020B0604030504040204"/>
          </a:endParaRPr>
        </a:p>
      </xdr:txBody>
    </xdr:sp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194310</xdr:colOff>
      <xdr:row>2</xdr:row>
      <xdr:rowOff>76200</xdr:rowOff>
    </xdr:from>
    <xdr:to>
      <xdr:col>3</xdr:col>
      <xdr:colOff>66675</xdr:colOff>
      <xdr:row>4</xdr:row>
      <xdr:rowOff>133349</xdr:rowOff>
    </xdr:to>
    <xdr:sp macro="" textlink="">
      <xdr:nvSpPr>
        <xdr:cNvPr id="3" name="Text Box 2"/>
        <xdr:cNvSpPr txBox="1">
          <a:spLocks noChangeArrowheads="1"/>
        </xdr:cNvSpPr>
      </xdr:nvSpPr>
      <xdr:spPr>
        <a:xfrm>
          <a:off x="4718685" y="457200"/>
          <a:ext cx="1386840" cy="437515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id-ID" sz="700" b="0" i="0" strike="noStrike">
              <a:solidFill>
                <a:srgbClr val="000000"/>
              </a:solidFill>
              <a:latin typeface="Tahoma" panose="020B0604030504040204"/>
              <a:cs typeface="Tahoma" panose="020B0604030504040204"/>
            </a:rPr>
            <a:t>LAMPIRAN</a:t>
          </a:r>
          <a:r>
            <a:rPr lang="id-ID" sz="700" b="0" i="0" strike="noStrike" baseline="0">
              <a:solidFill>
                <a:srgbClr val="000000"/>
              </a:solidFill>
              <a:latin typeface="Tahoma" panose="020B0604030504040204"/>
              <a:cs typeface="Tahoma" panose="020B0604030504040204"/>
            </a:rPr>
            <a:t> XX</a:t>
          </a:r>
          <a:r>
            <a:rPr lang="en-US" sz="700" b="0" i="0" strike="noStrike" baseline="0">
              <a:solidFill>
                <a:srgbClr val="000000"/>
              </a:solidFill>
              <a:latin typeface="Tahoma" panose="020B0604030504040204"/>
              <a:cs typeface="Tahoma" panose="020B0604030504040204"/>
            </a:rPr>
            <a:t>X</a:t>
          </a:r>
        </a:p>
        <a:p>
          <a:pPr algn="l" rtl="1">
            <a:defRPr sz="1000"/>
          </a:pPr>
          <a:r>
            <a:rPr lang="en-US" sz="700" b="0" i="0" strike="noStrike" baseline="0">
              <a:solidFill>
                <a:srgbClr val="000000"/>
              </a:solidFill>
              <a:latin typeface="Tahoma" panose="020B0604030504040204"/>
              <a:cs typeface="Tahoma" panose="020B0604030504040204"/>
            </a:rPr>
            <a:t> </a:t>
          </a:r>
          <a:r>
            <a:rPr lang="id-ID" sz="700" b="0" i="0" strike="noStrike">
              <a:solidFill>
                <a:srgbClr val="000000"/>
              </a:solidFill>
              <a:latin typeface="Tahoma" panose="020B0604030504040204"/>
              <a:cs typeface="Tahoma" panose="020B0604030504040204"/>
            </a:rPr>
            <a:t>Catatan</a:t>
          </a:r>
          <a:r>
            <a:rPr lang="id-ID" sz="700" b="0" i="0" strike="noStrike" baseline="0">
              <a:solidFill>
                <a:srgbClr val="000000"/>
              </a:solidFill>
              <a:latin typeface="Tahoma" panose="020B0604030504040204"/>
              <a:cs typeface="Tahoma" panose="020B0604030504040204"/>
            </a:rPr>
            <a:t> atas Laporan Keuangan 2018</a:t>
          </a:r>
          <a:endParaRPr lang="en-US" sz="700" b="0" i="0" strike="noStrike">
            <a:solidFill>
              <a:srgbClr val="000000"/>
            </a:solidFill>
            <a:latin typeface="Tahoma" panose="020B0604030504040204"/>
            <a:cs typeface="Tahoma" panose="020B0604030504040204"/>
          </a:endParaRPr>
        </a:p>
      </xdr:txBody>
    </xdr:sp>
    <xdr:clientData/>
  </xdr:twoCellAnchor>
  <xdr:twoCellAnchor>
    <xdr:from>
      <xdr:col>0</xdr:col>
      <xdr:colOff>161925</xdr:colOff>
      <xdr:row>0</xdr:row>
      <xdr:rowOff>171450</xdr:rowOff>
    </xdr:from>
    <xdr:to>
      <xdr:col>1</xdr:col>
      <xdr:colOff>25399</xdr:colOff>
      <xdr:row>3</xdr:row>
      <xdr:rowOff>84667</xdr:rowOff>
    </xdr:to>
    <xdr:pic>
      <xdr:nvPicPr>
        <xdr:cNvPr id="4" name="Picture 424" descr="lambang daerah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61925" y="171450"/>
          <a:ext cx="377824" cy="4847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1162050</xdr:colOff>
      <xdr:row>1</xdr:row>
      <xdr:rowOff>161925</xdr:rowOff>
    </xdr:from>
    <xdr:to>
      <xdr:col>3</xdr:col>
      <xdr:colOff>1234440</xdr:colOff>
      <xdr:row>4</xdr:row>
      <xdr:rowOff>9525</xdr:rowOff>
    </xdr:to>
    <xdr:sp macro="" textlink="">
      <xdr:nvSpPr>
        <xdr:cNvPr id="3" name="Text Box 2"/>
        <xdr:cNvSpPr txBox="1">
          <a:spLocks noChangeArrowheads="1"/>
        </xdr:cNvSpPr>
      </xdr:nvSpPr>
      <xdr:spPr>
        <a:xfrm>
          <a:off x="4048125" y="352425"/>
          <a:ext cx="1548765" cy="41910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id-ID" sz="700" b="0" i="0" strike="noStrike">
              <a:solidFill>
                <a:srgbClr val="000000"/>
              </a:solidFill>
              <a:latin typeface="Tahoma" panose="020B0604030504040204"/>
              <a:cs typeface="Tahoma" panose="020B0604030504040204"/>
            </a:rPr>
            <a:t>LAMPIRAN</a:t>
          </a:r>
          <a:r>
            <a:rPr lang="id-ID" sz="700" b="0" i="0" strike="noStrike" baseline="0">
              <a:solidFill>
                <a:srgbClr val="000000"/>
              </a:solidFill>
              <a:latin typeface="Tahoma" panose="020B0604030504040204"/>
              <a:cs typeface="Tahoma" panose="020B0604030504040204"/>
            </a:rPr>
            <a:t> XX</a:t>
          </a:r>
          <a:r>
            <a:rPr lang="en-US" sz="700" b="0" i="0" strike="noStrike" baseline="0">
              <a:solidFill>
                <a:srgbClr val="000000"/>
              </a:solidFill>
              <a:latin typeface="Tahoma" panose="020B0604030504040204"/>
              <a:cs typeface="Tahoma" panose="020B0604030504040204"/>
            </a:rPr>
            <a:t>XI</a:t>
          </a:r>
        </a:p>
        <a:p>
          <a:pPr algn="l" rtl="1">
            <a:defRPr sz="1000"/>
          </a:pPr>
          <a:r>
            <a:rPr lang="en-US" sz="700" b="0" i="0" strike="noStrike" baseline="0">
              <a:solidFill>
                <a:srgbClr val="000000"/>
              </a:solidFill>
              <a:latin typeface="Tahoma" panose="020B0604030504040204"/>
              <a:cs typeface="Tahoma" panose="020B0604030504040204"/>
            </a:rPr>
            <a:t> </a:t>
          </a:r>
          <a:r>
            <a:rPr lang="id-ID" sz="700" b="0" i="0" strike="noStrike">
              <a:solidFill>
                <a:srgbClr val="000000"/>
              </a:solidFill>
              <a:latin typeface="Tahoma" panose="020B0604030504040204"/>
              <a:cs typeface="Tahoma" panose="020B0604030504040204"/>
            </a:rPr>
            <a:t>Catatan</a:t>
          </a:r>
          <a:r>
            <a:rPr lang="id-ID" sz="700" b="0" i="0" strike="noStrike" baseline="0">
              <a:solidFill>
                <a:srgbClr val="000000"/>
              </a:solidFill>
              <a:latin typeface="Tahoma" panose="020B0604030504040204"/>
              <a:cs typeface="Tahoma" panose="020B0604030504040204"/>
            </a:rPr>
            <a:t> atas Laporan Keuangan 2018</a:t>
          </a:r>
          <a:endParaRPr lang="en-US" sz="700" b="0" i="0" strike="noStrike">
            <a:solidFill>
              <a:srgbClr val="000000"/>
            </a:solidFill>
            <a:latin typeface="Tahoma" panose="020B0604030504040204"/>
            <a:cs typeface="Tahoma" panose="020B0604030504040204"/>
          </a:endParaRPr>
        </a:p>
      </xdr:txBody>
    </xdr:sp>
    <xdr:clientData/>
  </xdr:twoCellAnchor>
  <xdr:twoCellAnchor>
    <xdr:from>
      <xdr:col>0</xdr:col>
      <xdr:colOff>133350</xdr:colOff>
      <xdr:row>0</xdr:row>
      <xdr:rowOff>161924</xdr:rowOff>
    </xdr:from>
    <xdr:to>
      <xdr:col>0</xdr:col>
      <xdr:colOff>511174</xdr:colOff>
      <xdr:row>3</xdr:row>
      <xdr:rowOff>114299</xdr:rowOff>
    </xdr:to>
    <xdr:pic>
      <xdr:nvPicPr>
        <xdr:cNvPr id="4" name="Picture 424" descr="lambang daerah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33350" y="161924"/>
          <a:ext cx="377824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4413885</xdr:colOff>
      <xdr:row>2</xdr:row>
      <xdr:rowOff>40005</xdr:rowOff>
    </xdr:from>
    <xdr:to>
      <xdr:col>3</xdr:col>
      <xdr:colOff>28575</xdr:colOff>
      <xdr:row>4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>
        <a:xfrm>
          <a:off x="4928235" y="421005"/>
          <a:ext cx="1624965" cy="340995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id-ID" sz="700" b="0" i="0" strike="noStrike">
              <a:solidFill>
                <a:srgbClr val="000000"/>
              </a:solidFill>
              <a:latin typeface="Tahoma" panose="020B0604030504040204"/>
              <a:cs typeface="Tahoma" panose="020B0604030504040204"/>
            </a:rPr>
            <a:t>LAMPIRAN</a:t>
          </a:r>
          <a:r>
            <a:rPr lang="id-ID" sz="700" b="0" i="0" strike="noStrike" baseline="0">
              <a:solidFill>
                <a:srgbClr val="000000"/>
              </a:solidFill>
              <a:latin typeface="Tahoma" panose="020B0604030504040204"/>
              <a:cs typeface="Tahoma" panose="020B0604030504040204"/>
            </a:rPr>
            <a:t> XX</a:t>
          </a:r>
          <a:r>
            <a:rPr lang="en-US" sz="700" b="0" i="0" strike="noStrike" baseline="0">
              <a:solidFill>
                <a:srgbClr val="000000"/>
              </a:solidFill>
              <a:latin typeface="Tahoma" panose="020B0604030504040204"/>
              <a:cs typeface="Tahoma" panose="020B0604030504040204"/>
            </a:rPr>
            <a:t>X</a:t>
          </a:r>
          <a:r>
            <a:rPr lang="id-ID" sz="700" b="0" i="0" strike="noStrike" baseline="0">
              <a:solidFill>
                <a:srgbClr val="000000"/>
              </a:solidFill>
              <a:latin typeface="Tahoma" panose="020B0604030504040204"/>
              <a:cs typeface="Tahoma" panose="020B0604030504040204"/>
            </a:rPr>
            <a:t>II</a:t>
          </a:r>
          <a:endParaRPr lang="en-US" sz="700" b="0" i="0" strike="noStrike" baseline="0">
            <a:solidFill>
              <a:srgbClr val="000000"/>
            </a:solidFill>
            <a:latin typeface="Tahoma" panose="020B0604030504040204"/>
            <a:cs typeface="Tahoma" panose="020B0604030504040204"/>
          </a:endParaRPr>
        </a:p>
        <a:p>
          <a:pPr algn="l" rtl="1">
            <a:defRPr sz="1000"/>
          </a:pPr>
          <a:r>
            <a:rPr lang="en-US" sz="700" b="0" i="0" strike="noStrike" baseline="0">
              <a:solidFill>
                <a:srgbClr val="000000"/>
              </a:solidFill>
              <a:latin typeface="Tahoma" panose="020B0604030504040204"/>
              <a:cs typeface="Tahoma" panose="020B0604030504040204"/>
            </a:rPr>
            <a:t> </a:t>
          </a:r>
          <a:r>
            <a:rPr lang="id-ID" sz="700" b="0" i="0" strike="noStrike">
              <a:solidFill>
                <a:srgbClr val="000000"/>
              </a:solidFill>
              <a:latin typeface="Tahoma" panose="020B0604030504040204"/>
              <a:cs typeface="Tahoma" panose="020B0604030504040204"/>
            </a:rPr>
            <a:t>Catatan</a:t>
          </a:r>
          <a:r>
            <a:rPr lang="id-ID" sz="700" b="0" i="0" strike="noStrike" baseline="0">
              <a:solidFill>
                <a:srgbClr val="000000"/>
              </a:solidFill>
              <a:latin typeface="Tahoma" panose="020B0604030504040204"/>
              <a:cs typeface="Tahoma" panose="020B0604030504040204"/>
            </a:rPr>
            <a:t> atas Laporan Keuangan 2018</a:t>
          </a:r>
          <a:endParaRPr lang="en-US" sz="700" b="0" i="0" strike="noStrike">
            <a:solidFill>
              <a:srgbClr val="000000"/>
            </a:solidFill>
            <a:latin typeface="Tahoma" panose="020B0604030504040204"/>
            <a:cs typeface="Tahoma" panose="020B0604030504040204"/>
          </a:endParaRPr>
        </a:p>
      </xdr:txBody>
    </xdr:sp>
    <xdr:clientData/>
  </xdr:twoCellAnchor>
  <xdr:twoCellAnchor>
    <xdr:from>
      <xdr:col>0</xdr:col>
      <xdr:colOff>152400</xdr:colOff>
      <xdr:row>0</xdr:row>
      <xdr:rowOff>76200</xdr:rowOff>
    </xdr:from>
    <xdr:to>
      <xdr:col>1</xdr:col>
      <xdr:colOff>15874</xdr:colOff>
      <xdr:row>3</xdr:row>
      <xdr:rowOff>8467</xdr:rowOff>
    </xdr:to>
    <xdr:pic>
      <xdr:nvPicPr>
        <xdr:cNvPr id="4" name="Picture 424" descr="lambang daerah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52400" y="76200"/>
          <a:ext cx="377824" cy="503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702467</xdr:colOff>
      <xdr:row>5</xdr:row>
      <xdr:rowOff>142874</xdr:rowOff>
    </xdr:from>
    <xdr:to>
      <xdr:col>11</xdr:col>
      <xdr:colOff>1297780</xdr:colOff>
      <xdr:row>8</xdr:row>
      <xdr:rowOff>11905</xdr:rowOff>
    </xdr:to>
    <xdr:sp macro="" textlink="">
      <xdr:nvSpPr>
        <xdr:cNvPr id="2" name="Text Box 2"/>
        <xdr:cNvSpPr txBox="1">
          <a:spLocks noChangeArrowheads="1"/>
        </xdr:cNvSpPr>
      </xdr:nvSpPr>
      <xdr:spPr>
        <a:xfrm>
          <a:off x="15389860" y="951865"/>
          <a:ext cx="1918970" cy="431165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id-ID" sz="800" b="0" i="0" strike="noStrike">
              <a:solidFill>
                <a:srgbClr val="000000"/>
              </a:solidFill>
              <a:latin typeface="Tahoma" panose="020B0604030504040204"/>
              <a:cs typeface="Tahoma" panose="020B0604030504040204"/>
            </a:rPr>
            <a:t>LAMPIRAN</a:t>
          </a:r>
          <a:r>
            <a:rPr lang="id-ID" sz="800" b="0" i="0" strike="noStrike" baseline="0">
              <a:solidFill>
                <a:srgbClr val="000000"/>
              </a:solidFill>
              <a:latin typeface="Tahoma" panose="020B0604030504040204"/>
              <a:cs typeface="Tahoma" panose="020B0604030504040204"/>
            </a:rPr>
            <a:t> IV</a:t>
          </a:r>
        </a:p>
        <a:p>
          <a:pPr algn="l" rtl="1">
            <a:defRPr sz="1000"/>
          </a:pPr>
          <a:r>
            <a:rPr lang="id-ID" sz="800" b="0" i="0" strike="noStrike">
              <a:solidFill>
                <a:srgbClr val="000000"/>
              </a:solidFill>
              <a:latin typeface="Tahoma" panose="020B0604030504040204"/>
              <a:cs typeface="Tahoma" panose="020B0604030504040204"/>
            </a:rPr>
            <a:t>Catatan</a:t>
          </a:r>
          <a:r>
            <a:rPr lang="id-ID" sz="800" b="0" i="0" strike="noStrike" baseline="0">
              <a:solidFill>
                <a:srgbClr val="000000"/>
              </a:solidFill>
              <a:latin typeface="Tahoma" panose="020B0604030504040204"/>
              <a:cs typeface="Tahoma" panose="020B0604030504040204"/>
            </a:rPr>
            <a:t> atas Laporan Keuangan 201</a:t>
          </a:r>
          <a:r>
            <a:rPr lang="en-ID" sz="800" b="0" i="0" strike="noStrike" baseline="0">
              <a:solidFill>
                <a:srgbClr val="000000"/>
              </a:solidFill>
              <a:latin typeface="Tahoma" panose="020B0604030504040204"/>
              <a:cs typeface="Tahoma" panose="020B0604030504040204"/>
            </a:rPr>
            <a:t>8</a:t>
          </a:r>
          <a:endParaRPr lang="en-US" sz="800" b="0" i="0" strike="noStrike">
            <a:solidFill>
              <a:srgbClr val="000000"/>
            </a:solidFill>
            <a:latin typeface="Tahoma" panose="020B0604030504040204"/>
            <a:cs typeface="Tahoma" panose="020B0604030504040204"/>
          </a:endParaRPr>
        </a:p>
      </xdr:txBody>
    </xdr:sp>
    <xdr:clientData/>
  </xdr:twoCellAnchor>
  <xdr:twoCellAnchor>
    <xdr:from>
      <xdr:col>2</xdr:col>
      <xdr:colOff>71437</xdr:colOff>
      <xdr:row>5</xdr:row>
      <xdr:rowOff>71438</xdr:rowOff>
    </xdr:from>
    <xdr:to>
      <xdr:col>2</xdr:col>
      <xdr:colOff>571499</xdr:colOff>
      <xdr:row>8</xdr:row>
      <xdr:rowOff>154781</xdr:rowOff>
    </xdr:to>
    <xdr:pic>
      <xdr:nvPicPr>
        <xdr:cNvPr id="3" name="Picture 424" descr="lambang daerah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31031" y="904876"/>
          <a:ext cx="500062" cy="6548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390524</xdr:colOff>
      <xdr:row>1</xdr:row>
      <xdr:rowOff>66675</xdr:rowOff>
    </xdr:from>
    <xdr:to>
      <xdr:col>2</xdr:col>
      <xdr:colOff>375284</xdr:colOff>
      <xdr:row>1</xdr:row>
      <xdr:rowOff>64008</xdr:rowOff>
    </xdr:to>
    <xdr:pic>
      <xdr:nvPicPr>
        <xdr:cNvPr id="2" name="Picture -767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770890" y="209550"/>
          <a:ext cx="545465" cy="254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2390775</xdr:colOff>
      <xdr:row>1</xdr:row>
      <xdr:rowOff>123824</xdr:rowOff>
    </xdr:from>
    <xdr:to>
      <xdr:col>5</xdr:col>
      <xdr:colOff>910590</xdr:colOff>
      <xdr:row>3</xdr:row>
      <xdr:rowOff>114299</xdr:rowOff>
    </xdr:to>
    <xdr:sp macro="" textlink="">
      <xdr:nvSpPr>
        <xdr:cNvPr id="3" name="Text Box 2"/>
        <xdr:cNvSpPr txBox="1">
          <a:spLocks noChangeArrowheads="1"/>
        </xdr:cNvSpPr>
      </xdr:nvSpPr>
      <xdr:spPr>
        <a:xfrm>
          <a:off x="6286500" y="266699"/>
          <a:ext cx="1786890" cy="295275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id-ID" sz="700" b="0" i="0" strike="noStrike">
              <a:solidFill>
                <a:srgbClr val="000000"/>
              </a:solidFill>
              <a:latin typeface="Tahoma" panose="020B0604030504040204"/>
              <a:cs typeface="Tahoma" panose="020B0604030504040204"/>
            </a:rPr>
            <a:t>LAMPIRAN  V</a:t>
          </a:r>
          <a:endParaRPr lang="id-ID" sz="700" b="0" i="0" strike="noStrike" baseline="0">
            <a:solidFill>
              <a:srgbClr val="000000"/>
            </a:solidFill>
            <a:latin typeface="Tahoma" panose="020B0604030504040204"/>
            <a:cs typeface="Tahoma" panose="020B0604030504040204"/>
          </a:endParaRPr>
        </a:p>
        <a:p>
          <a:pPr algn="l" rtl="1">
            <a:defRPr sz="1000"/>
          </a:pPr>
          <a:r>
            <a:rPr lang="id-ID" sz="700" b="0" i="0" strike="noStrike">
              <a:solidFill>
                <a:srgbClr val="000000"/>
              </a:solidFill>
              <a:latin typeface="Tahoma" panose="020B0604030504040204"/>
              <a:cs typeface="Tahoma" panose="020B0604030504040204"/>
            </a:rPr>
            <a:t>Catatan</a:t>
          </a:r>
          <a:r>
            <a:rPr lang="id-ID" sz="700" b="0" i="0" strike="noStrike" baseline="0">
              <a:solidFill>
                <a:srgbClr val="000000"/>
              </a:solidFill>
              <a:latin typeface="Tahoma" panose="020B0604030504040204"/>
              <a:cs typeface="Tahoma" panose="020B0604030504040204"/>
            </a:rPr>
            <a:t> atas Laporan Keuangan 201</a:t>
          </a:r>
          <a:r>
            <a:rPr lang="en-ID" sz="700" b="0" i="0" strike="noStrike" baseline="0">
              <a:solidFill>
                <a:srgbClr val="000000"/>
              </a:solidFill>
              <a:latin typeface="Tahoma" panose="020B0604030504040204"/>
              <a:cs typeface="Tahoma" panose="020B0604030504040204"/>
            </a:rPr>
            <a:t>8</a:t>
          </a:r>
          <a:endParaRPr lang="en-US" sz="700" b="0" i="0" strike="noStrike">
            <a:solidFill>
              <a:srgbClr val="000000"/>
            </a:solidFill>
            <a:latin typeface="Tahoma" panose="020B0604030504040204"/>
            <a:cs typeface="Tahoma" panose="020B0604030504040204"/>
          </a:endParaRPr>
        </a:p>
      </xdr:txBody>
    </xdr:sp>
    <xdr:clientData/>
  </xdr:twoCellAnchor>
  <xdr:twoCellAnchor>
    <xdr:from>
      <xdr:col>1</xdr:col>
      <xdr:colOff>257175</xdr:colOff>
      <xdr:row>0</xdr:row>
      <xdr:rowOff>114300</xdr:rowOff>
    </xdr:from>
    <xdr:to>
      <xdr:col>2</xdr:col>
      <xdr:colOff>66675</xdr:colOff>
      <xdr:row>4</xdr:row>
      <xdr:rowOff>38100</xdr:rowOff>
    </xdr:to>
    <xdr:pic>
      <xdr:nvPicPr>
        <xdr:cNvPr id="4" name="Picture 424" descr="lambang daerah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38175" y="114300"/>
          <a:ext cx="409575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0</xdr:row>
      <xdr:rowOff>133350</xdr:rowOff>
    </xdr:from>
    <xdr:to>
      <xdr:col>1</xdr:col>
      <xdr:colOff>447675</xdr:colOff>
      <xdr:row>3</xdr:row>
      <xdr:rowOff>95250</xdr:rowOff>
    </xdr:to>
    <xdr:pic>
      <xdr:nvPicPr>
        <xdr:cNvPr id="2" name="Picture 424" descr="lambang daerah"/>
        <xdr:cNvPicPr>
          <a:picLocks noChangeAspect="1" noChangeArrowheads="1"/>
        </xdr:cNvPicPr>
      </xdr:nvPicPr>
      <xdr:blipFill>
        <a:srcRect/>
        <a:stretch>
          <a:fillRect/>
        </a:stretch>
      </xdr:blipFill>
      <xdr:spPr>
        <a:xfrm>
          <a:off x="133350" y="133350"/>
          <a:ext cx="371475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47626</xdr:colOff>
      <xdr:row>1</xdr:row>
      <xdr:rowOff>123825</xdr:rowOff>
    </xdr:from>
    <xdr:to>
      <xdr:col>7</xdr:col>
      <xdr:colOff>1043025</xdr:colOff>
      <xdr:row>3</xdr:row>
      <xdr:rowOff>123825</xdr:rowOff>
    </xdr:to>
    <xdr:sp macro="" textlink="">
      <xdr:nvSpPr>
        <xdr:cNvPr id="3" name="Text Box 2"/>
        <xdr:cNvSpPr txBox="1">
          <a:spLocks noChangeArrowheads="1"/>
        </xdr:cNvSpPr>
      </xdr:nvSpPr>
      <xdr:spPr>
        <a:xfrm>
          <a:off x="6858001" y="285750"/>
          <a:ext cx="2062199" cy="40005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id-ID" sz="700" b="0" i="0" strike="noStrike">
              <a:solidFill>
                <a:srgbClr val="000000"/>
              </a:solidFill>
              <a:latin typeface="Tahoma" panose="020B0604030504040204"/>
              <a:cs typeface="Tahoma" panose="020B0604030504040204"/>
            </a:rPr>
            <a:t>LAMPIRAN VI</a:t>
          </a:r>
          <a:r>
            <a:rPr lang="id-ID" sz="700" b="0" i="0" strike="noStrike" baseline="0">
              <a:solidFill>
                <a:srgbClr val="000000"/>
              </a:solidFill>
              <a:latin typeface="Tahoma" panose="020B0604030504040204"/>
              <a:cs typeface="Tahoma" panose="020B0604030504040204"/>
            </a:rPr>
            <a:t> </a:t>
          </a:r>
        </a:p>
        <a:p>
          <a:pPr algn="l" rtl="1">
            <a:defRPr sz="1000"/>
          </a:pPr>
          <a:r>
            <a:rPr lang="id-ID" sz="700" b="0" i="0" strike="noStrike">
              <a:solidFill>
                <a:srgbClr val="000000"/>
              </a:solidFill>
              <a:latin typeface="Tahoma" panose="020B0604030504040204"/>
              <a:cs typeface="Tahoma" panose="020B0604030504040204"/>
            </a:rPr>
            <a:t>Catatan</a:t>
          </a:r>
          <a:r>
            <a:rPr lang="id-ID" sz="700" b="0" i="0" strike="noStrike" baseline="0">
              <a:solidFill>
                <a:srgbClr val="000000"/>
              </a:solidFill>
              <a:latin typeface="Tahoma" panose="020B0604030504040204"/>
              <a:cs typeface="Tahoma" panose="020B0604030504040204"/>
            </a:rPr>
            <a:t> atas Laporan Keuangan 2018</a:t>
          </a:r>
          <a:endParaRPr lang="en-US" sz="700" b="0" i="0" strike="noStrike">
            <a:solidFill>
              <a:srgbClr val="000000"/>
            </a:solidFill>
            <a:latin typeface="Tahoma" panose="020B0604030504040204"/>
            <a:cs typeface="Tahoma" panose="020B0604030504040204"/>
          </a:endParaRPr>
        </a:p>
      </xdr:txBody>
    </xdr:sp>
    <xdr:clientData/>
  </xdr:twoCellAnchor>
  <xdr:twoCellAnchor>
    <xdr:from>
      <xdr:col>1</xdr:col>
      <xdr:colOff>76200</xdr:colOff>
      <xdr:row>0</xdr:row>
      <xdr:rowOff>133350</xdr:rowOff>
    </xdr:from>
    <xdr:to>
      <xdr:col>1</xdr:col>
      <xdr:colOff>485775</xdr:colOff>
      <xdr:row>3</xdr:row>
      <xdr:rowOff>95250</xdr:rowOff>
    </xdr:to>
    <xdr:pic>
      <xdr:nvPicPr>
        <xdr:cNvPr id="4" name="Picture 424" descr="lambang daerah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33350" y="133350"/>
          <a:ext cx="409575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588010</xdr:colOff>
      <xdr:row>1</xdr:row>
      <xdr:rowOff>0</xdr:rowOff>
    </xdr:from>
    <xdr:to>
      <xdr:col>11</xdr:col>
      <xdr:colOff>195181</xdr:colOff>
      <xdr:row>1</xdr:row>
      <xdr:rowOff>3430</xdr:rowOff>
    </xdr:to>
    <xdr:sp macro="" textlink="">
      <xdr:nvSpPr>
        <xdr:cNvPr id="2" name="Text Box 2"/>
        <xdr:cNvSpPr txBox="1">
          <a:spLocks noChangeArrowheads="1"/>
        </xdr:cNvSpPr>
      </xdr:nvSpPr>
      <xdr:spPr>
        <a:xfrm>
          <a:off x="6141085" y="161925"/>
          <a:ext cx="1993900" cy="3175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id-ID" sz="700" b="0" i="0" strike="noStrike">
              <a:solidFill>
                <a:srgbClr val="000000"/>
              </a:solidFill>
              <a:latin typeface="Tahoma" panose="020B0604030504040204"/>
              <a:cs typeface="Tahoma" panose="020B0604030504040204"/>
            </a:rPr>
            <a:t> </a:t>
          </a:r>
        </a:p>
        <a:p>
          <a:pPr algn="l" rtl="1">
            <a:defRPr sz="1000"/>
          </a:pPr>
          <a:r>
            <a:rPr lang="id-ID" sz="700" b="0" i="0" strike="noStrike">
              <a:solidFill>
                <a:srgbClr val="000000"/>
              </a:solidFill>
              <a:latin typeface="Tahoma" panose="020B0604030504040204"/>
              <a:cs typeface="Tahoma" panose="020B0604030504040204"/>
            </a:rPr>
            <a:t>LAMPIRAN V</a:t>
          </a:r>
          <a:r>
            <a:rPr lang="id-ID" sz="700" b="0" i="0" strike="noStrike" baseline="0">
              <a:solidFill>
                <a:srgbClr val="000000"/>
              </a:solidFill>
              <a:latin typeface="Tahoma" panose="020B0604030504040204"/>
              <a:cs typeface="Tahoma" panose="020B0604030504040204"/>
            </a:rPr>
            <a:t> </a:t>
          </a:r>
        </a:p>
        <a:p>
          <a:pPr algn="l" rtl="1">
            <a:defRPr sz="1000"/>
          </a:pPr>
          <a:r>
            <a:rPr lang="id-ID" sz="700" b="0" i="0" strike="noStrike">
              <a:solidFill>
                <a:srgbClr val="000000"/>
              </a:solidFill>
              <a:latin typeface="Tahoma" panose="020B0604030504040204"/>
              <a:cs typeface="Tahoma" panose="020B0604030504040204"/>
            </a:rPr>
            <a:t>Catatan</a:t>
          </a:r>
          <a:r>
            <a:rPr lang="id-ID" sz="700" b="0" i="0" strike="noStrike" baseline="0">
              <a:solidFill>
                <a:srgbClr val="000000"/>
              </a:solidFill>
              <a:latin typeface="Tahoma" panose="020B0604030504040204"/>
              <a:cs typeface="Tahoma" panose="020B0604030504040204"/>
            </a:rPr>
            <a:t> atas Laporan Keuangan 2013</a:t>
          </a:r>
          <a:endParaRPr lang="en-US" sz="700" b="0" i="0" strike="noStrike">
            <a:solidFill>
              <a:srgbClr val="000000"/>
            </a:solidFill>
            <a:latin typeface="Tahoma" panose="020B0604030504040204"/>
            <a:cs typeface="Tahoma" panose="020B0604030504040204"/>
          </a:endParaRPr>
        </a:p>
      </xdr:txBody>
    </xdr:sp>
    <xdr:clientData/>
  </xdr:twoCellAnchor>
  <xdr:twoCellAnchor editAs="oneCell">
    <xdr:from>
      <xdr:col>20</xdr:col>
      <xdr:colOff>621666</xdr:colOff>
      <xdr:row>1</xdr:row>
      <xdr:rowOff>0</xdr:rowOff>
    </xdr:from>
    <xdr:to>
      <xdr:col>22</xdr:col>
      <xdr:colOff>1400512</xdr:colOff>
      <xdr:row>1</xdr:row>
      <xdr:rowOff>15646</xdr:rowOff>
    </xdr:to>
    <xdr:sp macro="" textlink="">
      <xdr:nvSpPr>
        <xdr:cNvPr id="3" name="Text Box 2"/>
        <xdr:cNvSpPr txBox="1">
          <a:spLocks noChangeArrowheads="1"/>
        </xdr:cNvSpPr>
      </xdr:nvSpPr>
      <xdr:spPr>
        <a:xfrm>
          <a:off x="15642590" y="161925"/>
          <a:ext cx="2911475" cy="1524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id-ID" sz="700" b="0" i="0" strike="noStrike">
              <a:solidFill>
                <a:srgbClr val="000000"/>
              </a:solidFill>
              <a:latin typeface="Tahoma" panose="020B0604030504040204"/>
              <a:cs typeface="Tahoma" panose="020B0604030504040204"/>
            </a:rPr>
            <a:t>LAMPIRAN</a:t>
          </a:r>
          <a:r>
            <a:rPr lang="id-ID" sz="700" b="0" i="0" strike="noStrike" baseline="0">
              <a:solidFill>
                <a:srgbClr val="000000"/>
              </a:solidFill>
              <a:latin typeface="Tahoma" panose="020B0604030504040204"/>
              <a:cs typeface="Tahoma" panose="020B0604030504040204"/>
            </a:rPr>
            <a:t> XVII</a:t>
          </a:r>
        </a:p>
        <a:p>
          <a:pPr algn="l" rtl="1">
            <a:defRPr sz="1000"/>
          </a:pPr>
          <a:r>
            <a:rPr lang="id-ID" sz="700" b="0" i="0" strike="noStrike">
              <a:solidFill>
                <a:srgbClr val="000000"/>
              </a:solidFill>
              <a:latin typeface="Tahoma" panose="020B0604030504040204"/>
              <a:cs typeface="Tahoma" panose="020B0604030504040204"/>
            </a:rPr>
            <a:t>Catatan</a:t>
          </a:r>
          <a:r>
            <a:rPr lang="id-ID" sz="700" b="0" i="0" strike="noStrike" baseline="0">
              <a:solidFill>
                <a:srgbClr val="000000"/>
              </a:solidFill>
              <a:latin typeface="Tahoma" panose="020B0604030504040204"/>
              <a:cs typeface="Tahoma" panose="020B0604030504040204"/>
            </a:rPr>
            <a:t> atas Laporan Keuangan 2014</a:t>
          </a:r>
          <a:endParaRPr lang="en-US" sz="700" b="0" i="0" strike="noStrike">
            <a:solidFill>
              <a:srgbClr val="000000"/>
            </a:solidFill>
            <a:latin typeface="Tahoma" panose="020B0604030504040204"/>
            <a:cs typeface="Tahoma" panose="020B0604030504040204"/>
          </a:endParaRPr>
        </a:p>
      </xdr:txBody>
    </xdr:sp>
    <xdr:clientData/>
  </xdr:twoCellAnchor>
  <xdr:twoCellAnchor editAs="oneCell">
    <xdr:from>
      <xdr:col>19</xdr:col>
      <xdr:colOff>631190</xdr:colOff>
      <xdr:row>1</xdr:row>
      <xdr:rowOff>0</xdr:rowOff>
    </xdr:from>
    <xdr:to>
      <xdr:col>22</xdr:col>
      <xdr:colOff>305436</xdr:colOff>
      <xdr:row>1</xdr:row>
      <xdr:rowOff>30445</xdr:rowOff>
    </xdr:to>
    <xdr:sp macro="" textlink="">
      <xdr:nvSpPr>
        <xdr:cNvPr id="4" name="Text Box 2"/>
        <xdr:cNvSpPr txBox="1">
          <a:spLocks noChangeArrowheads="1"/>
        </xdr:cNvSpPr>
      </xdr:nvSpPr>
      <xdr:spPr>
        <a:xfrm>
          <a:off x="14813915" y="161925"/>
          <a:ext cx="2644140" cy="16256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id-ID" sz="700" b="0" i="0" strike="noStrike">
              <a:solidFill>
                <a:srgbClr val="000000"/>
              </a:solidFill>
              <a:latin typeface="Tahoma" panose="020B0604030504040204"/>
              <a:cs typeface="Tahoma" panose="020B0604030504040204"/>
            </a:rPr>
            <a:t>LAMPIRAN</a:t>
          </a:r>
          <a:r>
            <a:rPr lang="id-ID" sz="700" b="0" i="0" strike="noStrike" baseline="0">
              <a:solidFill>
                <a:srgbClr val="000000"/>
              </a:solidFill>
              <a:latin typeface="Tahoma" panose="020B0604030504040204"/>
              <a:cs typeface="Tahoma" panose="020B0604030504040204"/>
            </a:rPr>
            <a:t> XVII</a:t>
          </a:r>
        </a:p>
        <a:p>
          <a:pPr algn="l" rtl="1">
            <a:defRPr sz="1000"/>
          </a:pPr>
          <a:r>
            <a:rPr lang="id-ID" sz="700" b="0" i="0" strike="noStrike">
              <a:solidFill>
                <a:srgbClr val="000000"/>
              </a:solidFill>
              <a:latin typeface="Tahoma" panose="020B0604030504040204"/>
              <a:cs typeface="Tahoma" panose="020B0604030504040204"/>
            </a:rPr>
            <a:t>Catatan</a:t>
          </a:r>
          <a:r>
            <a:rPr lang="id-ID" sz="700" b="0" i="0" strike="noStrike" baseline="0">
              <a:solidFill>
                <a:srgbClr val="000000"/>
              </a:solidFill>
              <a:latin typeface="Tahoma" panose="020B0604030504040204"/>
              <a:cs typeface="Tahoma" panose="020B0604030504040204"/>
            </a:rPr>
            <a:t> atas Laporan Keuangan 2014</a:t>
          </a:r>
          <a:endParaRPr lang="en-US" sz="700" b="0" i="0" strike="noStrike">
            <a:solidFill>
              <a:srgbClr val="000000"/>
            </a:solidFill>
            <a:latin typeface="Tahoma" panose="020B0604030504040204"/>
            <a:cs typeface="Tahoma" panose="020B0604030504040204"/>
          </a:endParaRPr>
        </a:p>
      </xdr:txBody>
    </xdr:sp>
    <xdr:clientData/>
  </xdr:twoCellAnchor>
  <xdr:twoCellAnchor editAs="oneCell">
    <xdr:from>
      <xdr:col>15</xdr:col>
      <xdr:colOff>226695</xdr:colOff>
      <xdr:row>1</xdr:row>
      <xdr:rowOff>0</xdr:rowOff>
    </xdr:from>
    <xdr:to>
      <xdr:col>17</xdr:col>
      <xdr:colOff>475404</xdr:colOff>
      <xdr:row>1</xdr:row>
      <xdr:rowOff>30480</xdr:rowOff>
    </xdr:to>
    <xdr:sp macro="" textlink="">
      <xdr:nvSpPr>
        <xdr:cNvPr id="5" name="Text Box 2"/>
        <xdr:cNvSpPr txBox="1">
          <a:spLocks noChangeArrowheads="1"/>
        </xdr:cNvSpPr>
      </xdr:nvSpPr>
      <xdr:spPr>
        <a:xfrm>
          <a:off x="11323320" y="161925"/>
          <a:ext cx="1778000" cy="36195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id-ID" sz="700" b="0" i="0" strike="noStrike">
              <a:solidFill>
                <a:srgbClr val="000000"/>
              </a:solidFill>
              <a:latin typeface="Tahoma" panose="020B0604030504040204"/>
              <a:cs typeface="Tahoma" panose="020B0604030504040204"/>
            </a:rPr>
            <a:t>LAMPIRAN</a:t>
          </a:r>
          <a:r>
            <a:rPr lang="id-ID" sz="700" b="0" i="0" strike="noStrike" baseline="0">
              <a:solidFill>
                <a:srgbClr val="000000"/>
              </a:solidFill>
              <a:latin typeface="Tahoma" panose="020B0604030504040204"/>
              <a:cs typeface="Tahoma" panose="020B0604030504040204"/>
            </a:rPr>
            <a:t> VII</a:t>
          </a:r>
        </a:p>
        <a:p>
          <a:pPr algn="l" rtl="1">
            <a:defRPr sz="1000"/>
          </a:pPr>
          <a:r>
            <a:rPr lang="id-ID" sz="700" b="0" i="0" strike="noStrike">
              <a:solidFill>
                <a:srgbClr val="000000"/>
              </a:solidFill>
              <a:latin typeface="Tahoma" panose="020B0604030504040204"/>
              <a:cs typeface="Tahoma" panose="020B0604030504040204"/>
            </a:rPr>
            <a:t>Catatan</a:t>
          </a:r>
          <a:r>
            <a:rPr lang="id-ID" sz="700" b="0" i="0" strike="noStrike" baseline="0">
              <a:solidFill>
                <a:srgbClr val="000000"/>
              </a:solidFill>
              <a:latin typeface="Tahoma" panose="020B0604030504040204"/>
              <a:cs typeface="Tahoma" panose="020B0604030504040204"/>
            </a:rPr>
            <a:t> atas Laporan Keuangan 201</a:t>
          </a:r>
          <a:r>
            <a:rPr lang="en-US" sz="700" b="0" i="0" strike="noStrike" baseline="0">
              <a:solidFill>
                <a:srgbClr val="000000"/>
              </a:solidFill>
              <a:latin typeface="Tahoma" panose="020B0604030504040204"/>
              <a:cs typeface="Tahoma" panose="020B0604030504040204"/>
            </a:rPr>
            <a:t>7</a:t>
          </a:r>
          <a:endParaRPr lang="en-US" sz="700" b="0" i="0" strike="noStrike">
            <a:solidFill>
              <a:srgbClr val="000000"/>
            </a:solidFill>
            <a:latin typeface="Tahoma" panose="020B0604030504040204"/>
            <a:cs typeface="Tahoma" panose="020B0604030504040204"/>
          </a:endParaRPr>
        </a:p>
      </xdr:txBody>
    </xdr:sp>
    <xdr:clientData/>
  </xdr:twoCellAnchor>
  <xdr:twoCellAnchor>
    <xdr:from>
      <xdr:col>1</xdr:col>
      <xdr:colOff>123826</xdr:colOff>
      <xdr:row>1</xdr:row>
      <xdr:rowOff>66675</xdr:rowOff>
    </xdr:from>
    <xdr:to>
      <xdr:col>2</xdr:col>
      <xdr:colOff>285751</xdr:colOff>
      <xdr:row>3</xdr:row>
      <xdr:rowOff>142875</xdr:rowOff>
    </xdr:to>
    <xdr:pic>
      <xdr:nvPicPr>
        <xdr:cNvPr id="122157" name="Picture 424" descr="lambang daerah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00051" y="228600"/>
          <a:ext cx="381000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14</xdr:col>
      <xdr:colOff>9525</xdr:colOff>
      <xdr:row>19</xdr:row>
      <xdr:rowOff>83821</xdr:rowOff>
    </xdr:from>
    <xdr:to>
      <xdr:col>15</xdr:col>
      <xdr:colOff>274358</xdr:colOff>
      <xdr:row>19</xdr:row>
      <xdr:rowOff>84117</xdr:rowOff>
    </xdr:to>
    <xdr:sp macro="" textlink="">
      <xdr:nvSpPr>
        <xdr:cNvPr id="6" name="Text Box 2"/>
        <xdr:cNvSpPr txBox="1">
          <a:spLocks noChangeArrowheads="1"/>
        </xdr:cNvSpPr>
      </xdr:nvSpPr>
      <xdr:spPr>
        <a:xfrm>
          <a:off x="10325100" y="3522345"/>
          <a:ext cx="1043940" cy="635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id-ID" sz="700" b="0" i="0" strike="noStrike">
              <a:solidFill>
                <a:srgbClr val="000000"/>
              </a:solidFill>
              <a:latin typeface="Tahoma" panose="020B0604030504040204"/>
              <a:cs typeface="Tahoma" panose="020B0604030504040204"/>
            </a:rPr>
            <a:t>LAMPIRAN</a:t>
          </a:r>
          <a:r>
            <a:rPr lang="id-ID" sz="700" b="0" i="0" strike="noStrike" baseline="0">
              <a:solidFill>
                <a:srgbClr val="000000"/>
              </a:solidFill>
              <a:latin typeface="Tahoma" panose="020B0604030504040204"/>
              <a:cs typeface="Tahoma" panose="020B0604030504040204"/>
            </a:rPr>
            <a:t> VII</a:t>
          </a:r>
        </a:p>
        <a:p>
          <a:pPr algn="l" rtl="1">
            <a:defRPr sz="1000"/>
          </a:pPr>
          <a:r>
            <a:rPr lang="id-ID" sz="700" b="0" i="0" strike="noStrike">
              <a:solidFill>
                <a:srgbClr val="000000"/>
              </a:solidFill>
              <a:latin typeface="Tahoma" panose="020B0604030504040204"/>
              <a:cs typeface="Tahoma" panose="020B0604030504040204"/>
            </a:rPr>
            <a:t>Catatan</a:t>
          </a:r>
          <a:r>
            <a:rPr lang="id-ID" sz="700" b="0" i="0" strike="noStrike" baseline="0">
              <a:solidFill>
                <a:srgbClr val="000000"/>
              </a:solidFill>
              <a:latin typeface="Tahoma" panose="020B0604030504040204"/>
              <a:cs typeface="Tahoma" panose="020B0604030504040204"/>
            </a:rPr>
            <a:t> atas Laporan Keuangan 2013</a:t>
          </a:r>
          <a:endParaRPr lang="en-US" sz="700" b="0" i="0" strike="noStrike">
            <a:solidFill>
              <a:srgbClr val="000000"/>
            </a:solidFill>
            <a:latin typeface="Tahoma" panose="020B0604030504040204"/>
            <a:cs typeface="Tahoma" panose="020B0604030504040204"/>
          </a:endParaRPr>
        </a:p>
      </xdr:txBody>
    </xdr:sp>
    <xdr:clientData/>
  </xdr:twoCellAnchor>
  <xdr:twoCellAnchor editAs="oneCell">
    <xdr:from>
      <xdr:col>15</xdr:col>
      <xdr:colOff>483870</xdr:colOff>
      <xdr:row>18</xdr:row>
      <xdr:rowOff>11430</xdr:rowOff>
    </xdr:from>
    <xdr:to>
      <xdr:col>17</xdr:col>
      <xdr:colOff>231654</xdr:colOff>
      <xdr:row>18</xdr:row>
      <xdr:rowOff>8763</xdr:rowOff>
    </xdr:to>
    <xdr:sp macro="" textlink="">
      <xdr:nvSpPr>
        <xdr:cNvPr id="7" name="Text Box 2"/>
        <xdr:cNvSpPr txBox="1">
          <a:spLocks noChangeArrowheads="1"/>
        </xdr:cNvSpPr>
      </xdr:nvSpPr>
      <xdr:spPr>
        <a:xfrm>
          <a:off x="11580495" y="3164205"/>
          <a:ext cx="1264920" cy="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id-ID" sz="700" b="0" i="0" strike="noStrike">
              <a:solidFill>
                <a:srgbClr val="000000"/>
              </a:solidFill>
              <a:latin typeface="Tahoma" panose="020B0604030504040204"/>
              <a:cs typeface="Tahoma" panose="020B0604030504040204"/>
            </a:rPr>
            <a:t>LAMPIRAN</a:t>
          </a:r>
          <a:r>
            <a:rPr lang="id-ID" sz="700" b="0" i="0" strike="noStrike" baseline="0">
              <a:solidFill>
                <a:srgbClr val="000000"/>
              </a:solidFill>
              <a:latin typeface="Tahoma" panose="020B0604030504040204"/>
              <a:cs typeface="Tahoma" panose="020B0604030504040204"/>
            </a:rPr>
            <a:t> XI</a:t>
          </a:r>
        </a:p>
        <a:p>
          <a:pPr algn="l" rtl="1">
            <a:defRPr sz="1000"/>
          </a:pPr>
          <a:r>
            <a:rPr lang="id-ID" sz="700" b="0" i="0" strike="noStrike">
              <a:solidFill>
                <a:srgbClr val="000000"/>
              </a:solidFill>
              <a:latin typeface="Tahoma" panose="020B0604030504040204"/>
              <a:cs typeface="Tahoma" panose="020B0604030504040204"/>
            </a:rPr>
            <a:t>Catatan</a:t>
          </a:r>
          <a:r>
            <a:rPr lang="id-ID" sz="700" b="0" i="0" strike="noStrike" baseline="0">
              <a:solidFill>
                <a:srgbClr val="000000"/>
              </a:solidFill>
              <a:latin typeface="Tahoma" panose="020B0604030504040204"/>
              <a:cs typeface="Tahoma" panose="020B0604030504040204"/>
            </a:rPr>
            <a:t> atas Laporan Keuangan 2015</a:t>
          </a:r>
          <a:endParaRPr lang="en-US" sz="700" b="0" i="0" strike="noStrike">
            <a:solidFill>
              <a:srgbClr val="000000"/>
            </a:solidFill>
            <a:latin typeface="Tahoma" panose="020B0604030504040204"/>
            <a:cs typeface="Tahoma" panose="020B0604030504040204"/>
          </a:endParaRPr>
        </a:p>
      </xdr:txBody>
    </xdr:sp>
    <xdr:clientData/>
  </xdr:twoCellAnchor>
  <xdr:twoCellAnchor editAs="oneCell">
    <xdr:from>
      <xdr:col>14</xdr:col>
      <xdr:colOff>66675</xdr:colOff>
      <xdr:row>18</xdr:row>
      <xdr:rowOff>153035</xdr:rowOff>
    </xdr:from>
    <xdr:to>
      <xdr:col>16</xdr:col>
      <xdr:colOff>99953</xdr:colOff>
      <xdr:row>18</xdr:row>
      <xdr:rowOff>149112</xdr:rowOff>
    </xdr:to>
    <xdr:sp macro="" textlink="">
      <xdr:nvSpPr>
        <xdr:cNvPr id="8" name="Text Box 2"/>
        <xdr:cNvSpPr txBox="1">
          <a:spLocks noChangeArrowheads="1"/>
        </xdr:cNvSpPr>
      </xdr:nvSpPr>
      <xdr:spPr>
        <a:xfrm>
          <a:off x="10382250" y="3305810"/>
          <a:ext cx="1553845" cy="381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id-ID" sz="700" b="0" i="0" strike="noStrike">
              <a:solidFill>
                <a:srgbClr val="000000"/>
              </a:solidFill>
              <a:latin typeface="Tahoma" panose="020B0604030504040204"/>
              <a:cs typeface="Tahoma" panose="020B0604030504040204"/>
            </a:rPr>
            <a:t> </a:t>
          </a:r>
        </a:p>
        <a:p>
          <a:pPr algn="l" rtl="1">
            <a:defRPr sz="1000"/>
          </a:pPr>
          <a:r>
            <a:rPr lang="id-ID" sz="700" b="0" i="0" strike="noStrike">
              <a:solidFill>
                <a:srgbClr val="000000"/>
              </a:solidFill>
              <a:latin typeface="Tahoma" panose="020B0604030504040204"/>
              <a:cs typeface="Tahoma" panose="020B0604030504040204"/>
            </a:rPr>
            <a:t>LAMPIRAN</a:t>
          </a:r>
          <a:r>
            <a:rPr lang="id-ID" sz="700" b="0" i="0" strike="noStrike" baseline="0">
              <a:solidFill>
                <a:srgbClr val="000000"/>
              </a:solidFill>
              <a:latin typeface="Tahoma" panose="020B0604030504040204"/>
              <a:cs typeface="Tahoma" panose="020B0604030504040204"/>
            </a:rPr>
            <a:t> XI                                                                       </a:t>
          </a:r>
          <a:r>
            <a:rPr lang="id-ID" sz="700" b="0" i="0" strike="noStrike">
              <a:solidFill>
                <a:srgbClr val="000000"/>
              </a:solidFill>
              <a:latin typeface="Tahoma" panose="020B0604030504040204"/>
              <a:cs typeface="Tahoma" panose="020B0604030504040204"/>
            </a:rPr>
            <a:t>Catatan</a:t>
          </a:r>
          <a:r>
            <a:rPr lang="id-ID" sz="700" b="0" i="0" strike="noStrike" baseline="0">
              <a:solidFill>
                <a:srgbClr val="000000"/>
              </a:solidFill>
              <a:latin typeface="Tahoma" panose="020B0604030504040204"/>
              <a:cs typeface="Tahoma" panose="020B0604030504040204"/>
            </a:rPr>
            <a:t> atas Laporan Keuangan 2015</a:t>
          </a:r>
          <a:endParaRPr lang="en-US" sz="700" b="0" i="0" strike="noStrike">
            <a:solidFill>
              <a:srgbClr val="000000"/>
            </a:solidFill>
            <a:latin typeface="Tahoma" panose="020B0604030504040204"/>
            <a:cs typeface="Tahoma" panose="020B0604030504040204"/>
          </a:endParaRPr>
        </a:p>
      </xdr:txBody>
    </xdr:sp>
    <xdr:clientData/>
  </xdr:twoCellAnchor>
  <xdr:twoCellAnchor editAs="oneCell">
    <xdr:from>
      <xdr:col>15</xdr:col>
      <xdr:colOff>0</xdr:colOff>
      <xdr:row>18</xdr:row>
      <xdr:rowOff>52705</xdr:rowOff>
    </xdr:from>
    <xdr:to>
      <xdr:col>16</xdr:col>
      <xdr:colOff>561327</xdr:colOff>
      <xdr:row>18</xdr:row>
      <xdr:rowOff>54451</xdr:rowOff>
    </xdr:to>
    <xdr:sp macro="" textlink="">
      <xdr:nvSpPr>
        <xdr:cNvPr id="9" name="Text Box 2"/>
        <xdr:cNvSpPr txBox="1">
          <a:spLocks noChangeArrowheads="1"/>
        </xdr:cNvSpPr>
      </xdr:nvSpPr>
      <xdr:spPr>
        <a:xfrm>
          <a:off x="11096625" y="3205480"/>
          <a:ext cx="1303655" cy="127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id-ID" sz="700" b="0" i="0" strike="noStrike">
              <a:solidFill>
                <a:srgbClr val="000000"/>
              </a:solidFill>
              <a:latin typeface="Tahoma" panose="020B0604030504040204"/>
              <a:cs typeface="Tahoma" panose="020B0604030504040204"/>
            </a:rPr>
            <a:t>LAMPIRAN</a:t>
          </a:r>
          <a:r>
            <a:rPr lang="id-ID" sz="700" b="0" i="0" strike="noStrike" baseline="0">
              <a:solidFill>
                <a:srgbClr val="000000"/>
              </a:solidFill>
              <a:latin typeface="Tahoma" panose="020B0604030504040204"/>
              <a:cs typeface="Tahoma" panose="020B0604030504040204"/>
            </a:rPr>
            <a:t> XI</a:t>
          </a:r>
        </a:p>
        <a:p>
          <a:pPr algn="l" rtl="1">
            <a:defRPr sz="1000"/>
          </a:pPr>
          <a:r>
            <a:rPr lang="id-ID" sz="700" b="0" i="0" strike="noStrike">
              <a:solidFill>
                <a:srgbClr val="000000"/>
              </a:solidFill>
              <a:latin typeface="Tahoma" panose="020B0604030504040204"/>
              <a:cs typeface="Tahoma" panose="020B0604030504040204"/>
            </a:rPr>
            <a:t>Catatan</a:t>
          </a:r>
          <a:r>
            <a:rPr lang="id-ID" sz="700" b="0" i="0" strike="noStrike" baseline="0">
              <a:solidFill>
                <a:srgbClr val="000000"/>
              </a:solidFill>
              <a:latin typeface="Tahoma" panose="020B0604030504040204"/>
              <a:cs typeface="Tahoma" panose="020B0604030504040204"/>
            </a:rPr>
            <a:t> atas Laporan Keuangan 2015</a:t>
          </a:r>
          <a:endParaRPr lang="en-US" sz="700" b="0" i="0" strike="noStrike">
            <a:solidFill>
              <a:srgbClr val="000000"/>
            </a:solidFill>
            <a:latin typeface="Tahoma" panose="020B0604030504040204"/>
            <a:cs typeface="Tahoma" panose="020B0604030504040204"/>
          </a:endParaRPr>
        </a:p>
      </xdr:txBody>
    </xdr:sp>
    <xdr:clientData/>
  </xdr:twoCellAnchor>
  <xdr:twoCellAnchor editAs="oneCell">
    <xdr:from>
      <xdr:col>15</xdr:col>
      <xdr:colOff>428625</xdr:colOff>
      <xdr:row>1</xdr:row>
      <xdr:rowOff>87630</xdr:rowOff>
    </xdr:from>
    <xdr:to>
      <xdr:col>17</xdr:col>
      <xdr:colOff>461561</xdr:colOff>
      <xdr:row>1</xdr:row>
      <xdr:rowOff>160773</xdr:rowOff>
    </xdr:to>
    <xdr:sp macro="" textlink="">
      <xdr:nvSpPr>
        <xdr:cNvPr id="10" name="Text Box 2"/>
        <xdr:cNvSpPr txBox="1">
          <a:spLocks noChangeArrowheads="1"/>
        </xdr:cNvSpPr>
      </xdr:nvSpPr>
      <xdr:spPr>
        <a:xfrm>
          <a:off x="11525250" y="249555"/>
          <a:ext cx="1552575" cy="499745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id-ID" sz="700" b="0" i="0" strike="noStrike">
              <a:solidFill>
                <a:srgbClr val="000000"/>
              </a:solidFill>
              <a:latin typeface="Tahoma" panose="020B0604030504040204"/>
              <a:cs typeface="Tahoma" panose="020B0604030504040204"/>
            </a:rPr>
            <a:t> </a:t>
          </a:r>
        </a:p>
        <a:p>
          <a:pPr algn="l" rtl="1">
            <a:defRPr sz="1000"/>
          </a:pPr>
          <a:r>
            <a:rPr lang="id-ID" sz="700" b="0" i="0" strike="noStrike">
              <a:solidFill>
                <a:srgbClr val="000000"/>
              </a:solidFill>
              <a:latin typeface="Tahoma" panose="020B0604030504040204"/>
              <a:cs typeface="Tahoma" panose="020B0604030504040204"/>
            </a:rPr>
            <a:t>LAMPIRAN</a:t>
          </a:r>
          <a:r>
            <a:rPr lang="id-ID" sz="700" b="0" i="0" strike="noStrike" baseline="0">
              <a:solidFill>
                <a:srgbClr val="000000"/>
              </a:solidFill>
              <a:latin typeface="Tahoma" panose="020B0604030504040204"/>
              <a:cs typeface="Tahoma" panose="020B0604030504040204"/>
            </a:rPr>
            <a:t> VII</a:t>
          </a:r>
        </a:p>
        <a:p>
          <a:pPr algn="l" rtl="1">
            <a:defRPr sz="1000"/>
          </a:pPr>
          <a:r>
            <a:rPr lang="id-ID" sz="700" b="0" i="0" strike="noStrike">
              <a:solidFill>
                <a:srgbClr val="000000"/>
              </a:solidFill>
              <a:latin typeface="Tahoma" panose="020B0604030504040204"/>
              <a:cs typeface="Tahoma" panose="020B0604030504040204"/>
            </a:rPr>
            <a:t>Catatan</a:t>
          </a:r>
          <a:r>
            <a:rPr lang="id-ID" sz="700" b="0" i="0" strike="noStrike" baseline="0">
              <a:solidFill>
                <a:srgbClr val="000000"/>
              </a:solidFill>
              <a:latin typeface="Tahoma" panose="020B0604030504040204"/>
              <a:cs typeface="Tahoma" panose="020B0604030504040204"/>
            </a:rPr>
            <a:t> atas Laporan Keuangan 2018</a:t>
          </a:r>
          <a:endParaRPr lang="en-US" sz="700" b="0" i="0" strike="noStrike">
            <a:solidFill>
              <a:srgbClr val="000000"/>
            </a:solidFill>
            <a:latin typeface="Tahoma" panose="020B0604030504040204"/>
            <a:cs typeface="Tahoma" panose="020B0604030504040204"/>
          </a:endParaRPr>
        </a:p>
      </xdr:txBody>
    </xdr:sp>
    <xdr:clientData/>
  </xdr:twoCellAnchor>
  <xdr:twoCellAnchor editAs="oneCell">
    <xdr:from>
      <xdr:col>17</xdr:col>
      <xdr:colOff>66675</xdr:colOff>
      <xdr:row>18</xdr:row>
      <xdr:rowOff>153035</xdr:rowOff>
    </xdr:from>
    <xdr:to>
      <xdr:col>19</xdr:col>
      <xdr:colOff>80903</xdr:colOff>
      <xdr:row>18</xdr:row>
      <xdr:rowOff>149112</xdr:rowOff>
    </xdr:to>
    <xdr:sp macro="" textlink="">
      <xdr:nvSpPr>
        <xdr:cNvPr id="11" name="Text Box 2"/>
        <xdr:cNvSpPr txBox="1">
          <a:spLocks noChangeArrowheads="1"/>
        </xdr:cNvSpPr>
      </xdr:nvSpPr>
      <xdr:spPr>
        <a:xfrm>
          <a:off x="12706350" y="3305810"/>
          <a:ext cx="1553845" cy="381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id-ID" sz="700" b="0" i="0" strike="noStrike">
              <a:solidFill>
                <a:srgbClr val="000000"/>
              </a:solidFill>
              <a:latin typeface="Tahoma" panose="020B0604030504040204"/>
              <a:cs typeface="Tahoma" panose="020B0604030504040204"/>
            </a:rPr>
            <a:t> </a:t>
          </a:r>
        </a:p>
        <a:p>
          <a:pPr algn="l" rtl="1">
            <a:defRPr sz="1000"/>
          </a:pPr>
          <a:r>
            <a:rPr lang="id-ID" sz="700" b="0" i="0" strike="noStrike">
              <a:solidFill>
                <a:srgbClr val="000000"/>
              </a:solidFill>
              <a:latin typeface="Tahoma" panose="020B0604030504040204"/>
              <a:cs typeface="Tahoma" panose="020B0604030504040204"/>
            </a:rPr>
            <a:t>LAMPIRAN</a:t>
          </a:r>
          <a:r>
            <a:rPr lang="id-ID" sz="700" b="0" i="0" strike="noStrike" baseline="0">
              <a:solidFill>
                <a:srgbClr val="000000"/>
              </a:solidFill>
              <a:latin typeface="Tahoma" panose="020B0604030504040204"/>
              <a:cs typeface="Tahoma" panose="020B0604030504040204"/>
            </a:rPr>
            <a:t> XI                                                                       </a:t>
          </a:r>
          <a:r>
            <a:rPr lang="id-ID" sz="700" b="0" i="0" strike="noStrike">
              <a:solidFill>
                <a:srgbClr val="000000"/>
              </a:solidFill>
              <a:latin typeface="Tahoma" panose="020B0604030504040204"/>
              <a:cs typeface="Tahoma" panose="020B0604030504040204"/>
            </a:rPr>
            <a:t>Catatan</a:t>
          </a:r>
          <a:r>
            <a:rPr lang="id-ID" sz="700" b="0" i="0" strike="noStrike" baseline="0">
              <a:solidFill>
                <a:srgbClr val="000000"/>
              </a:solidFill>
              <a:latin typeface="Tahoma" panose="020B0604030504040204"/>
              <a:cs typeface="Tahoma" panose="020B0604030504040204"/>
            </a:rPr>
            <a:t> atas Laporan Keuangan 2015</a:t>
          </a:r>
          <a:endParaRPr lang="en-US" sz="700" b="0" i="0" strike="noStrike">
            <a:solidFill>
              <a:srgbClr val="000000"/>
            </a:solidFill>
            <a:latin typeface="Tahoma" panose="020B0604030504040204"/>
            <a:cs typeface="Tahoma" panose="020B0604030504040204"/>
          </a:endParaRPr>
        </a:p>
      </xdr:txBody>
    </xdr:sp>
    <xdr:clientData/>
  </xdr:twoCellAnchor>
  <xdr:twoCellAnchor editAs="oneCell">
    <xdr:from>
      <xdr:col>18</xdr:col>
      <xdr:colOff>0</xdr:colOff>
      <xdr:row>18</xdr:row>
      <xdr:rowOff>11430</xdr:rowOff>
    </xdr:from>
    <xdr:to>
      <xdr:col>19</xdr:col>
      <xdr:colOff>464826</xdr:colOff>
      <xdr:row>18</xdr:row>
      <xdr:rowOff>8763</xdr:rowOff>
    </xdr:to>
    <xdr:sp macro="" textlink="">
      <xdr:nvSpPr>
        <xdr:cNvPr id="12" name="Text Box 2"/>
        <xdr:cNvSpPr txBox="1">
          <a:spLocks noChangeArrowheads="1"/>
        </xdr:cNvSpPr>
      </xdr:nvSpPr>
      <xdr:spPr>
        <a:xfrm>
          <a:off x="13401675" y="3164205"/>
          <a:ext cx="1245870" cy="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id-ID" sz="700" b="0" i="0" strike="noStrike">
              <a:solidFill>
                <a:srgbClr val="000000"/>
              </a:solidFill>
              <a:latin typeface="Tahoma" panose="020B0604030504040204"/>
              <a:cs typeface="Tahoma" panose="020B0604030504040204"/>
            </a:rPr>
            <a:t>LAMPIRAN</a:t>
          </a:r>
          <a:r>
            <a:rPr lang="id-ID" sz="700" b="0" i="0" strike="noStrike" baseline="0">
              <a:solidFill>
                <a:srgbClr val="000000"/>
              </a:solidFill>
              <a:latin typeface="Tahoma" panose="020B0604030504040204"/>
              <a:cs typeface="Tahoma" panose="020B0604030504040204"/>
            </a:rPr>
            <a:t> XI</a:t>
          </a:r>
        </a:p>
        <a:p>
          <a:pPr algn="l" rtl="1">
            <a:defRPr sz="1000"/>
          </a:pPr>
          <a:r>
            <a:rPr lang="id-ID" sz="700" b="0" i="0" strike="noStrike">
              <a:solidFill>
                <a:srgbClr val="000000"/>
              </a:solidFill>
              <a:latin typeface="Tahoma" panose="020B0604030504040204"/>
              <a:cs typeface="Tahoma" panose="020B0604030504040204"/>
            </a:rPr>
            <a:t>Catatan</a:t>
          </a:r>
          <a:r>
            <a:rPr lang="id-ID" sz="700" b="0" i="0" strike="noStrike" baseline="0">
              <a:solidFill>
                <a:srgbClr val="000000"/>
              </a:solidFill>
              <a:latin typeface="Tahoma" panose="020B0604030504040204"/>
              <a:cs typeface="Tahoma" panose="020B0604030504040204"/>
            </a:rPr>
            <a:t> atas Laporan Keuangan 2015</a:t>
          </a:r>
          <a:endParaRPr lang="en-US" sz="700" b="0" i="0" strike="noStrike">
            <a:solidFill>
              <a:srgbClr val="000000"/>
            </a:solidFill>
            <a:latin typeface="Tahoma" panose="020B0604030504040204"/>
            <a:cs typeface="Tahoma" panose="020B0604030504040204"/>
          </a:endParaRPr>
        </a:p>
      </xdr:txBody>
    </xdr:sp>
    <xdr:clientData/>
  </xdr:twoCellAnchor>
  <xdr:twoCellAnchor editAs="oneCell">
    <xdr:from>
      <xdr:col>3</xdr:col>
      <xdr:colOff>66675</xdr:colOff>
      <xdr:row>24</xdr:row>
      <xdr:rowOff>153035</xdr:rowOff>
    </xdr:from>
    <xdr:to>
      <xdr:col>5</xdr:col>
      <xdr:colOff>138053</xdr:colOff>
      <xdr:row>24</xdr:row>
      <xdr:rowOff>149112</xdr:rowOff>
    </xdr:to>
    <xdr:sp macro="" textlink="">
      <xdr:nvSpPr>
        <xdr:cNvPr id="13" name="Text Box 2"/>
        <xdr:cNvSpPr txBox="1">
          <a:spLocks noChangeArrowheads="1"/>
        </xdr:cNvSpPr>
      </xdr:nvSpPr>
      <xdr:spPr>
        <a:xfrm>
          <a:off x="1104900" y="4401185"/>
          <a:ext cx="1744345" cy="381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id-ID" sz="700" b="0" i="0" strike="noStrike">
              <a:solidFill>
                <a:srgbClr val="000000"/>
              </a:solidFill>
              <a:latin typeface="Tahoma" panose="020B0604030504040204"/>
              <a:cs typeface="Tahoma" panose="020B0604030504040204"/>
            </a:rPr>
            <a:t> </a:t>
          </a:r>
        </a:p>
        <a:p>
          <a:pPr algn="l" rtl="1">
            <a:defRPr sz="1000"/>
          </a:pPr>
          <a:r>
            <a:rPr lang="id-ID" sz="700" b="0" i="0" strike="noStrike">
              <a:solidFill>
                <a:srgbClr val="000000"/>
              </a:solidFill>
              <a:latin typeface="Tahoma" panose="020B0604030504040204"/>
              <a:cs typeface="Tahoma" panose="020B0604030504040204"/>
            </a:rPr>
            <a:t>LAMPIRAN</a:t>
          </a:r>
          <a:r>
            <a:rPr lang="id-ID" sz="700" b="0" i="0" strike="noStrike" baseline="0">
              <a:solidFill>
                <a:srgbClr val="000000"/>
              </a:solidFill>
              <a:latin typeface="Tahoma" panose="020B0604030504040204"/>
              <a:cs typeface="Tahoma" panose="020B0604030504040204"/>
            </a:rPr>
            <a:t> XI                                                                       </a:t>
          </a:r>
          <a:r>
            <a:rPr lang="id-ID" sz="700" b="0" i="0" strike="noStrike">
              <a:solidFill>
                <a:srgbClr val="000000"/>
              </a:solidFill>
              <a:latin typeface="Tahoma" panose="020B0604030504040204"/>
              <a:cs typeface="Tahoma" panose="020B0604030504040204"/>
            </a:rPr>
            <a:t>Catatan</a:t>
          </a:r>
          <a:r>
            <a:rPr lang="id-ID" sz="700" b="0" i="0" strike="noStrike" baseline="0">
              <a:solidFill>
                <a:srgbClr val="000000"/>
              </a:solidFill>
              <a:latin typeface="Tahoma" panose="020B0604030504040204"/>
              <a:cs typeface="Tahoma" panose="020B0604030504040204"/>
            </a:rPr>
            <a:t> atas Laporan Keuangan 2015</a:t>
          </a:r>
          <a:endParaRPr lang="en-US" sz="700" b="0" i="0" strike="noStrike">
            <a:solidFill>
              <a:srgbClr val="000000"/>
            </a:solidFill>
            <a:latin typeface="Tahoma" panose="020B0604030504040204"/>
            <a:cs typeface="Tahoma" panose="020B0604030504040204"/>
          </a:endParaRPr>
        </a:p>
      </xdr:txBody>
    </xdr:sp>
    <xdr:clientData/>
  </xdr:twoCellAnchor>
  <xdr:twoCellAnchor editAs="oneCell">
    <xdr:from>
      <xdr:col>4</xdr:col>
      <xdr:colOff>0</xdr:colOff>
      <xdr:row>24</xdr:row>
      <xdr:rowOff>52705</xdr:rowOff>
    </xdr:from>
    <xdr:to>
      <xdr:col>5</xdr:col>
      <xdr:colOff>599427</xdr:colOff>
      <xdr:row>24</xdr:row>
      <xdr:rowOff>54451</xdr:rowOff>
    </xdr:to>
    <xdr:sp macro="" textlink="">
      <xdr:nvSpPr>
        <xdr:cNvPr id="14" name="Text Box 2"/>
        <xdr:cNvSpPr txBox="1">
          <a:spLocks noChangeArrowheads="1"/>
        </xdr:cNvSpPr>
      </xdr:nvSpPr>
      <xdr:spPr>
        <a:xfrm>
          <a:off x="1876425" y="4300855"/>
          <a:ext cx="1437005" cy="127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id-ID" sz="700" b="0" i="0" strike="noStrike">
              <a:solidFill>
                <a:srgbClr val="000000"/>
              </a:solidFill>
              <a:latin typeface="Tahoma" panose="020B0604030504040204"/>
              <a:cs typeface="Tahoma" panose="020B0604030504040204"/>
            </a:rPr>
            <a:t>LAMPIRAN</a:t>
          </a:r>
          <a:r>
            <a:rPr lang="id-ID" sz="700" b="0" i="0" strike="noStrike" baseline="0">
              <a:solidFill>
                <a:srgbClr val="000000"/>
              </a:solidFill>
              <a:latin typeface="Tahoma" panose="020B0604030504040204"/>
              <a:cs typeface="Tahoma" panose="020B0604030504040204"/>
            </a:rPr>
            <a:t> XI</a:t>
          </a:r>
        </a:p>
        <a:p>
          <a:pPr algn="l" rtl="1">
            <a:defRPr sz="1000"/>
          </a:pPr>
          <a:r>
            <a:rPr lang="id-ID" sz="700" b="0" i="0" strike="noStrike">
              <a:solidFill>
                <a:srgbClr val="000000"/>
              </a:solidFill>
              <a:latin typeface="Tahoma" panose="020B0604030504040204"/>
              <a:cs typeface="Tahoma" panose="020B0604030504040204"/>
            </a:rPr>
            <a:t>Catatan</a:t>
          </a:r>
          <a:r>
            <a:rPr lang="id-ID" sz="700" b="0" i="0" strike="noStrike" baseline="0">
              <a:solidFill>
                <a:srgbClr val="000000"/>
              </a:solidFill>
              <a:latin typeface="Tahoma" panose="020B0604030504040204"/>
              <a:cs typeface="Tahoma" panose="020B0604030504040204"/>
            </a:rPr>
            <a:t> atas Laporan Keuangan 2015</a:t>
          </a:r>
          <a:endParaRPr lang="en-US" sz="700" b="0" i="0" strike="noStrike">
            <a:solidFill>
              <a:srgbClr val="000000"/>
            </a:solidFill>
            <a:latin typeface="Tahoma" panose="020B0604030504040204"/>
            <a:cs typeface="Tahoma" panose="020B0604030504040204"/>
          </a:endParaRPr>
        </a:p>
      </xdr:txBody>
    </xdr:sp>
    <xdr:clientData/>
  </xdr:twoCellAnchor>
  <xdr:twoCellAnchor editAs="oneCell">
    <xdr:from>
      <xdr:col>4</xdr:col>
      <xdr:colOff>483870</xdr:colOff>
      <xdr:row>24</xdr:row>
      <xdr:rowOff>11430</xdr:rowOff>
    </xdr:from>
    <xdr:to>
      <xdr:col>6</xdr:col>
      <xdr:colOff>203079</xdr:colOff>
      <xdr:row>24</xdr:row>
      <xdr:rowOff>8763</xdr:rowOff>
    </xdr:to>
    <xdr:sp macro="" textlink="">
      <xdr:nvSpPr>
        <xdr:cNvPr id="15" name="Text Box 2"/>
        <xdr:cNvSpPr txBox="1">
          <a:spLocks noChangeArrowheads="1"/>
        </xdr:cNvSpPr>
      </xdr:nvSpPr>
      <xdr:spPr>
        <a:xfrm>
          <a:off x="2360295" y="4259580"/>
          <a:ext cx="1312545" cy="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id-ID" sz="700" b="0" i="0" strike="noStrike">
              <a:solidFill>
                <a:srgbClr val="000000"/>
              </a:solidFill>
              <a:latin typeface="Tahoma" panose="020B0604030504040204"/>
              <a:cs typeface="Tahoma" panose="020B0604030504040204"/>
            </a:rPr>
            <a:t>LAMPIRAN</a:t>
          </a:r>
          <a:r>
            <a:rPr lang="id-ID" sz="700" b="0" i="0" strike="noStrike" baseline="0">
              <a:solidFill>
                <a:srgbClr val="000000"/>
              </a:solidFill>
              <a:latin typeface="Tahoma" panose="020B0604030504040204"/>
              <a:cs typeface="Tahoma" panose="020B0604030504040204"/>
            </a:rPr>
            <a:t> XI</a:t>
          </a:r>
        </a:p>
        <a:p>
          <a:pPr algn="l" rtl="1">
            <a:defRPr sz="1000"/>
          </a:pPr>
          <a:r>
            <a:rPr lang="id-ID" sz="700" b="0" i="0" strike="noStrike">
              <a:solidFill>
                <a:srgbClr val="000000"/>
              </a:solidFill>
              <a:latin typeface="Tahoma" panose="020B0604030504040204"/>
              <a:cs typeface="Tahoma" panose="020B0604030504040204"/>
            </a:rPr>
            <a:t>Catatan</a:t>
          </a:r>
          <a:r>
            <a:rPr lang="id-ID" sz="700" b="0" i="0" strike="noStrike" baseline="0">
              <a:solidFill>
                <a:srgbClr val="000000"/>
              </a:solidFill>
              <a:latin typeface="Tahoma" panose="020B0604030504040204"/>
              <a:cs typeface="Tahoma" panose="020B0604030504040204"/>
            </a:rPr>
            <a:t> atas Laporan Keuangan 2015</a:t>
          </a:r>
          <a:endParaRPr lang="en-US" sz="700" b="0" i="0" strike="noStrike">
            <a:solidFill>
              <a:srgbClr val="000000"/>
            </a:solidFill>
            <a:latin typeface="Tahoma" panose="020B0604030504040204"/>
            <a:cs typeface="Tahoma" panose="020B0604030504040204"/>
          </a:endParaRPr>
        </a:p>
      </xdr:txBody>
    </xdr:sp>
    <xdr:clientData/>
  </xdr:twoCellAnchor>
  <xdr:twoCellAnchor editAs="oneCell">
    <xdr:from>
      <xdr:col>14</xdr:col>
      <xdr:colOff>523875</xdr:colOff>
      <xdr:row>2</xdr:row>
      <xdr:rowOff>9525</xdr:rowOff>
    </xdr:from>
    <xdr:to>
      <xdr:col>17</xdr:col>
      <xdr:colOff>252830</xdr:colOff>
      <xdr:row>4</xdr:row>
      <xdr:rowOff>79375</xdr:rowOff>
    </xdr:to>
    <xdr:sp macro="" textlink="">
      <xdr:nvSpPr>
        <xdr:cNvPr id="17" name="Text Box 2"/>
        <xdr:cNvSpPr txBox="1">
          <a:spLocks noChangeArrowheads="1"/>
        </xdr:cNvSpPr>
      </xdr:nvSpPr>
      <xdr:spPr>
        <a:xfrm>
          <a:off x="11039475" y="361950"/>
          <a:ext cx="2053055" cy="45085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id-ID" sz="700" b="0" i="0" strike="noStrike">
              <a:solidFill>
                <a:srgbClr val="000000"/>
              </a:solidFill>
              <a:latin typeface="Tahoma" panose="020B0604030504040204"/>
              <a:cs typeface="Tahoma" panose="020B0604030504040204"/>
            </a:rPr>
            <a:t>LAMPIRAN VII</a:t>
          </a:r>
          <a:r>
            <a:rPr lang="id-ID" sz="700" b="0" i="0" strike="noStrike" baseline="0">
              <a:solidFill>
                <a:srgbClr val="000000"/>
              </a:solidFill>
              <a:latin typeface="Tahoma" panose="020B0604030504040204"/>
              <a:cs typeface="Tahoma" panose="020B0604030504040204"/>
            </a:rPr>
            <a:t> </a:t>
          </a:r>
        </a:p>
        <a:p>
          <a:pPr algn="l" rtl="1">
            <a:defRPr sz="1000"/>
          </a:pPr>
          <a:r>
            <a:rPr lang="id-ID" sz="700" b="0" i="0" strike="noStrike">
              <a:solidFill>
                <a:srgbClr val="000000"/>
              </a:solidFill>
              <a:latin typeface="Tahoma" panose="020B0604030504040204"/>
              <a:cs typeface="Tahoma" panose="020B0604030504040204"/>
            </a:rPr>
            <a:t>Catatan</a:t>
          </a:r>
          <a:r>
            <a:rPr lang="id-ID" sz="700" b="0" i="0" strike="noStrike" baseline="0">
              <a:solidFill>
                <a:srgbClr val="000000"/>
              </a:solidFill>
              <a:latin typeface="Tahoma" panose="020B0604030504040204"/>
              <a:cs typeface="Tahoma" panose="020B0604030504040204"/>
            </a:rPr>
            <a:t> atas Laporan Keuangan 2018</a:t>
          </a:r>
          <a:endParaRPr lang="en-US" sz="700" b="0" i="0" strike="noStrike">
            <a:solidFill>
              <a:srgbClr val="000000"/>
            </a:solidFill>
            <a:latin typeface="Tahoma" panose="020B0604030504040204"/>
            <a:cs typeface="Tahoma" panose="020B0604030504040204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0</xdr:row>
      <xdr:rowOff>0</xdr:rowOff>
    </xdr:from>
    <xdr:to>
      <xdr:col>13</xdr:col>
      <xdr:colOff>244110</xdr:colOff>
      <xdr:row>0</xdr:row>
      <xdr:rowOff>871</xdr:rowOff>
    </xdr:to>
    <xdr:sp macro="" textlink="">
      <xdr:nvSpPr>
        <xdr:cNvPr id="3" name="Text Box 2"/>
        <xdr:cNvSpPr txBox="1">
          <a:spLocks noChangeArrowheads="1"/>
        </xdr:cNvSpPr>
      </xdr:nvSpPr>
      <xdr:spPr>
        <a:xfrm>
          <a:off x="16611600" y="0"/>
          <a:ext cx="3358515" cy="635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id-ID" sz="700" b="0" i="0" strike="noStrike">
              <a:solidFill>
                <a:srgbClr val="000000"/>
              </a:solidFill>
              <a:latin typeface="Tahoma" panose="020B0604030504040204"/>
              <a:cs typeface="Tahoma" panose="020B0604030504040204"/>
            </a:rPr>
            <a:t>LAMPIRAN</a:t>
          </a:r>
          <a:r>
            <a:rPr lang="id-ID" sz="700" b="0" i="0" strike="noStrike" baseline="0">
              <a:solidFill>
                <a:srgbClr val="000000"/>
              </a:solidFill>
              <a:latin typeface="Tahoma" panose="020B0604030504040204"/>
              <a:cs typeface="Tahoma" panose="020B0604030504040204"/>
            </a:rPr>
            <a:t> XXI</a:t>
          </a:r>
        </a:p>
        <a:p>
          <a:pPr algn="l" rtl="1">
            <a:defRPr sz="1000"/>
          </a:pPr>
          <a:r>
            <a:rPr lang="id-ID" sz="700" b="0" i="0" strike="noStrike">
              <a:solidFill>
                <a:srgbClr val="000000"/>
              </a:solidFill>
              <a:latin typeface="Tahoma" panose="020B0604030504040204"/>
              <a:cs typeface="Tahoma" panose="020B0604030504040204"/>
            </a:rPr>
            <a:t>Catatan</a:t>
          </a:r>
          <a:r>
            <a:rPr lang="id-ID" sz="700" b="0" i="0" strike="noStrike" baseline="0">
              <a:solidFill>
                <a:srgbClr val="000000"/>
              </a:solidFill>
              <a:latin typeface="Tahoma" panose="020B0604030504040204"/>
              <a:cs typeface="Tahoma" panose="020B0604030504040204"/>
            </a:rPr>
            <a:t> atas Laporan Keuangan 2014</a:t>
          </a:r>
          <a:endParaRPr lang="en-US" sz="700" b="0" i="0" strike="noStrike">
            <a:solidFill>
              <a:srgbClr val="000000"/>
            </a:solidFill>
            <a:latin typeface="Tahoma" panose="020B0604030504040204"/>
            <a:cs typeface="Tahoma" panose="020B0604030504040204"/>
          </a:endParaRPr>
        </a:p>
      </xdr:txBody>
    </xdr:sp>
    <xdr:clientData/>
  </xdr:twoCellAnchor>
  <xdr:twoCellAnchor editAs="oneCell">
    <xdr:from>
      <xdr:col>9</xdr:col>
      <xdr:colOff>0</xdr:colOff>
      <xdr:row>0</xdr:row>
      <xdr:rowOff>43180</xdr:rowOff>
    </xdr:from>
    <xdr:to>
      <xdr:col>12</xdr:col>
      <xdr:colOff>462053</xdr:colOff>
      <xdr:row>0</xdr:row>
      <xdr:rowOff>51268</xdr:rowOff>
    </xdr:to>
    <xdr:sp macro="" textlink="">
      <xdr:nvSpPr>
        <xdr:cNvPr id="4" name="Text Box 2"/>
        <xdr:cNvSpPr txBox="1">
          <a:spLocks noChangeArrowheads="1"/>
        </xdr:cNvSpPr>
      </xdr:nvSpPr>
      <xdr:spPr>
        <a:xfrm>
          <a:off x="16611600" y="43180"/>
          <a:ext cx="2966720" cy="762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id-ID" sz="700" b="0" i="0" strike="noStrike">
              <a:solidFill>
                <a:srgbClr val="000000"/>
              </a:solidFill>
              <a:latin typeface="Tahoma" panose="020B0604030504040204"/>
              <a:cs typeface="Tahoma" panose="020B0604030504040204"/>
            </a:rPr>
            <a:t>LAMPIRAN</a:t>
          </a:r>
          <a:r>
            <a:rPr lang="id-ID" sz="700" b="0" i="0" strike="noStrike" baseline="0">
              <a:solidFill>
                <a:srgbClr val="000000"/>
              </a:solidFill>
              <a:latin typeface="Tahoma" panose="020B0604030504040204"/>
              <a:cs typeface="Tahoma" panose="020B0604030504040204"/>
            </a:rPr>
            <a:t> XII</a:t>
          </a:r>
        </a:p>
        <a:p>
          <a:pPr algn="l" rtl="1">
            <a:defRPr sz="1000"/>
          </a:pPr>
          <a:r>
            <a:rPr lang="id-ID" sz="700" b="0" i="0" strike="noStrike">
              <a:solidFill>
                <a:srgbClr val="000000"/>
              </a:solidFill>
              <a:latin typeface="Tahoma" panose="020B0604030504040204"/>
              <a:cs typeface="Tahoma" panose="020B0604030504040204"/>
            </a:rPr>
            <a:t>Catatan</a:t>
          </a:r>
          <a:r>
            <a:rPr lang="id-ID" sz="700" b="0" i="0" strike="noStrike" baseline="0">
              <a:solidFill>
                <a:srgbClr val="000000"/>
              </a:solidFill>
              <a:latin typeface="Tahoma" panose="020B0604030504040204"/>
              <a:cs typeface="Tahoma" panose="020B0604030504040204"/>
            </a:rPr>
            <a:t> atas Laporan Keuangan 2014</a:t>
          </a:r>
          <a:endParaRPr lang="en-US" sz="700" b="0" i="0" strike="noStrike">
            <a:solidFill>
              <a:srgbClr val="000000"/>
            </a:solidFill>
            <a:latin typeface="Tahoma" panose="020B0604030504040204"/>
            <a:cs typeface="Tahoma" panose="020B0604030504040204"/>
          </a:endParaRPr>
        </a:p>
      </xdr:txBody>
    </xdr:sp>
    <xdr:clientData/>
  </xdr:twoCellAnchor>
  <xdr:twoCellAnchor editAs="oneCell">
    <xdr:from>
      <xdr:col>3</xdr:col>
      <xdr:colOff>516889</xdr:colOff>
      <xdr:row>0</xdr:row>
      <xdr:rowOff>0</xdr:rowOff>
    </xdr:from>
    <xdr:to>
      <xdr:col>4</xdr:col>
      <xdr:colOff>1339058</xdr:colOff>
      <xdr:row>0</xdr:row>
      <xdr:rowOff>25603</xdr:rowOff>
    </xdr:to>
    <xdr:sp macro="" textlink="">
      <xdr:nvSpPr>
        <xdr:cNvPr id="5" name="Text Box 2"/>
        <xdr:cNvSpPr txBox="1">
          <a:spLocks noChangeArrowheads="1"/>
        </xdr:cNvSpPr>
      </xdr:nvSpPr>
      <xdr:spPr>
        <a:xfrm>
          <a:off x="6507480" y="0"/>
          <a:ext cx="2574925" cy="2540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27432" tIns="22860" rIns="0" bIns="0" anchor="t" upright="1"/>
        <a:lstStyle/>
        <a:p>
          <a:pPr algn="l" rtl="1">
            <a:lnSpc>
              <a:spcPts val="700"/>
            </a:lnSpc>
            <a:defRPr sz="1000"/>
          </a:pPr>
          <a:r>
            <a:rPr lang="id-ID" sz="700" b="0" i="0" strike="noStrike">
              <a:solidFill>
                <a:srgbClr val="000000"/>
              </a:solidFill>
              <a:latin typeface="Tahoma" panose="020B0604030504040204"/>
              <a:cs typeface="Tahoma" panose="020B0604030504040204"/>
            </a:rPr>
            <a:t> </a:t>
          </a:r>
        </a:p>
        <a:p>
          <a:pPr algn="l" rtl="1">
            <a:lnSpc>
              <a:spcPts val="700"/>
            </a:lnSpc>
            <a:defRPr sz="1000"/>
          </a:pPr>
          <a:r>
            <a:rPr lang="id-ID" sz="700" b="0" i="0" strike="noStrike">
              <a:solidFill>
                <a:srgbClr val="000000"/>
              </a:solidFill>
              <a:latin typeface="Tahoma" panose="020B0604030504040204"/>
              <a:cs typeface="Tahoma" panose="020B0604030504040204"/>
            </a:rPr>
            <a:t>LAMPIRAN</a:t>
          </a:r>
          <a:r>
            <a:rPr lang="id-ID" sz="700" b="0" i="0" strike="noStrike" baseline="0">
              <a:solidFill>
                <a:srgbClr val="000000"/>
              </a:solidFill>
              <a:latin typeface="Tahoma" panose="020B0604030504040204"/>
              <a:cs typeface="Tahoma" panose="020B0604030504040204"/>
            </a:rPr>
            <a:t> VI                                                   </a:t>
          </a:r>
          <a:r>
            <a:rPr lang="id-ID" sz="700" b="0" i="0" strike="noStrike">
              <a:solidFill>
                <a:srgbClr val="000000"/>
              </a:solidFill>
              <a:latin typeface="Tahoma" panose="020B0604030504040204"/>
              <a:cs typeface="Tahoma" panose="020B0604030504040204"/>
            </a:rPr>
            <a:t>Catatan</a:t>
          </a:r>
          <a:r>
            <a:rPr lang="id-ID" sz="700" b="0" i="0" strike="noStrike" baseline="0">
              <a:solidFill>
                <a:srgbClr val="000000"/>
              </a:solidFill>
              <a:latin typeface="Tahoma" panose="020B0604030504040204"/>
              <a:cs typeface="Tahoma" panose="020B0604030504040204"/>
            </a:rPr>
            <a:t> atas Laporan Keuangan 2015</a:t>
          </a:r>
          <a:endParaRPr lang="en-US" sz="700" b="0" i="0" strike="noStrike">
            <a:solidFill>
              <a:srgbClr val="000000"/>
            </a:solidFill>
            <a:latin typeface="Tahoma" panose="020B0604030504040204"/>
            <a:cs typeface="Tahoma" panose="020B0604030504040204"/>
          </a:endParaRPr>
        </a:p>
      </xdr:txBody>
    </xdr:sp>
    <xdr:clientData/>
  </xdr:twoCellAnchor>
  <xdr:twoCellAnchor editAs="oneCell">
    <xdr:from>
      <xdr:col>7</xdr:col>
      <xdr:colOff>1397001</xdr:colOff>
      <xdr:row>1</xdr:row>
      <xdr:rowOff>224154</xdr:rowOff>
    </xdr:from>
    <xdr:to>
      <xdr:col>8</xdr:col>
      <xdr:colOff>1353313</xdr:colOff>
      <xdr:row>4</xdr:row>
      <xdr:rowOff>158750</xdr:rowOff>
    </xdr:to>
    <xdr:sp macro="" textlink="">
      <xdr:nvSpPr>
        <xdr:cNvPr id="6" name="Text Box 2"/>
        <xdr:cNvSpPr txBox="1">
          <a:spLocks noChangeArrowheads="1"/>
        </xdr:cNvSpPr>
      </xdr:nvSpPr>
      <xdr:spPr>
        <a:xfrm>
          <a:off x="14427200" y="423545"/>
          <a:ext cx="1670685" cy="73533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27432" tIns="22860" rIns="0" bIns="0" anchor="t" upright="1"/>
        <a:lstStyle/>
        <a:p>
          <a:pPr algn="l" rtl="1">
            <a:lnSpc>
              <a:spcPts val="700"/>
            </a:lnSpc>
            <a:defRPr sz="1000"/>
          </a:pPr>
          <a:r>
            <a:rPr lang="id-ID" sz="800" b="0" i="0" strike="noStrike">
              <a:solidFill>
                <a:srgbClr val="000000"/>
              </a:solidFill>
              <a:latin typeface="Tahoma" panose="020B0604030504040204"/>
              <a:cs typeface="Tahoma" panose="020B0604030504040204"/>
            </a:rPr>
            <a:t>LAMPIRAN VIII</a:t>
          </a:r>
          <a:r>
            <a:rPr lang="id-ID" sz="800" b="0" i="0" strike="noStrike" baseline="0">
              <a:solidFill>
                <a:srgbClr val="000000"/>
              </a:solidFill>
              <a:latin typeface="Tahoma" panose="020B0604030504040204"/>
              <a:cs typeface="Tahoma" panose="020B0604030504040204"/>
            </a:rPr>
            <a:t> </a:t>
          </a:r>
        </a:p>
        <a:p>
          <a:pPr algn="l" rtl="1">
            <a:lnSpc>
              <a:spcPts val="700"/>
            </a:lnSpc>
            <a:defRPr sz="1000"/>
          </a:pPr>
          <a:r>
            <a:rPr lang="id-ID" sz="800" b="0" i="0" strike="noStrike">
              <a:solidFill>
                <a:srgbClr val="000000"/>
              </a:solidFill>
              <a:latin typeface="Tahoma" panose="020B0604030504040204"/>
              <a:cs typeface="Tahoma" panose="020B0604030504040204"/>
            </a:rPr>
            <a:t>Catatan</a:t>
          </a:r>
          <a:r>
            <a:rPr lang="id-ID" sz="800" b="0" i="0" strike="noStrike" baseline="0">
              <a:solidFill>
                <a:srgbClr val="000000"/>
              </a:solidFill>
              <a:latin typeface="Tahoma" panose="020B0604030504040204"/>
              <a:cs typeface="Tahoma" panose="020B0604030504040204"/>
            </a:rPr>
            <a:t> atas Laporan Keuangan </a:t>
          </a:r>
          <a:r>
            <a:rPr lang="en-ID" sz="800" b="0" i="0" strike="noStrike" baseline="0">
              <a:solidFill>
                <a:srgbClr val="000000"/>
              </a:solidFill>
              <a:latin typeface="Tahoma" panose="020B0604030504040204"/>
              <a:cs typeface="Tahoma" panose="020B0604030504040204"/>
            </a:rPr>
            <a:t>2018</a:t>
          </a:r>
          <a:endParaRPr lang="en-US" sz="800" b="0" i="0" strike="noStrike">
            <a:solidFill>
              <a:srgbClr val="000000"/>
            </a:solidFill>
            <a:latin typeface="Tahoma" panose="020B0604030504040204"/>
            <a:cs typeface="Tahoma" panose="020B0604030504040204"/>
          </a:endParaRPr>
        </a:p>
      </xdr:txBody>
    </xdr:sp>
    <xdr:clientData/>
  </xdr:twoCellAnchor>
  <xdr:twoCellAnchor editAs="oneCell">
    <xdr:from>
      <xdr:col>7</xdr:col>
      <xdr:colOff>325120</xdr:colOff>
      <xdr:row>0</xdr:row>
      <xdr:rowOff>41275</xdr:rowOff>
    </xdr:from>
    <xdr:to>
      <xdr:col>8</xdr:col>
      <xdr:colOff>266611</xdr:colOff>
      <xdr:row>0</xdr:row>
      <xdr:rowOff>42418</xdr:rowOff>
    </xdr:to>
    <xdr:sp macro="" textlink="">
      <xdr:nvSpPr>
        <xdr:cNvPr id="7" name="Text Box 2"/>
        <xdr:cNvSpPr txBox="1">
          <a:spLocks noChangeArrowheads="1"/>
        </xdr:cNvSpPr>
      </xdr:nvSpPr>
      <xdr:spPr>
        <a:xfrm>
          <a:off x="13355320" y="41275"/>
          <a:ext cx="1655445" cy="635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id-ID" sz="700" b="0" i="0" strike="noStrike">
              <a:solidFill>
                <a:srgbClr val="000000"/>
              </a:solidFill>
              <a:latin typeface="Tahoma" panose="020B0604030504040204"/>
              <a:cs typeface="Tahoma" panose="020B0604030504040204"/>
            </a:rPr>
            <a:t>LAMPIRAN</a:t>
          </a:r>
          <a:r>
            <a:rPr lang="id-ID" sz="700" b="0" i="0" strike="noStrike" baseline="0">
              <a:solidFill>
                <a:srgbClr val="000000"/>
              </a:solidFill>
              <a:latin typeface="Tahoma" panose="020B0604030504040204"/>
              <a:cs typeface="Tahoma" panose="020B0604030504040204"/>
            </a:rPr>
            <a:t> VI </a:t>
          </a:r>
        </a:p>
        <a:p>
          <a:pPr algn="l" rtl="1">
            <a:defRPr sz="1000"/>
          </a:pPr>
          <a:r>
            <a:rPr lang="id-ID" sz="700" b="0" i="0" strike="noStrike">
              <a:solidFill>
                <a:srgbClr val="000000"/>
              </a:solidFill>
              <a:latin typeface="Tahoma" panose="020B0604030504040204"/>
              <a:cs typeface="Tahoma" panose="020B0604030504040204"/>
            </a:rPr>
            <a:t>Catatan</a:t>
          </a:r>
          <a:r>
            <a:rPr lang="id-ID" sz="700" b="0" i="0" strike="noStrike" baseline="0">
              <a:solidFill>
                <a:srgbClr val="000000"/>
              </a:solidFill>
              <a:latin typeface="Tahoma" panose="020B0604030504040204"/>
              <a:cs typeface="Tahoma" panose="020B0604030504040204"/>
            </a:rPr>
            <a:t> atas Laporan Keuangan 2015</a:t>
          </a:r>
          <a:endParaRPr lang="en-US" sz="700" b="0" i="0" strike="noStrike">
            <a:solidFill>
              <a:srgbClr val="000000"/>
            </a:solidFill>
            <a:latin typeface="Tahoma" panose="020B0604030504040204"/>
            <a:cs typeface="Tahoma" panose="020B0604030504040204"/>
          </a:endParaRPr>
        </a:p>
      </xdr:txBody>
    </xdr:sp>
    <xdr:clientData/>
  </xdr:twoCellAnchor>
  <xdr:twoCellAnchor>
    <xdr:from>
      <xdr:col>0</xdr:col>
      <xdr:colOff>295275</xdr:colOff>
      <xdr:row>1</xdr:row>
      <xdr:rowOff>66675</xdr:rowOff>
    </xdr:from>
    <xdr:to>
      <xdr:col>1</xdr:col>
      <xdr:colOff>504825</xdr:colOff>
      <xdr:row>3</xdr:row>
      <xdr:rowOff>171450</xdr:rowOff>
    </xdr:to>
    <xdr:pic>
      <xdr:nvPicPr>
        <xdr:cNvPr id="8" name="Picture 424" descr="lambang daerah"/>
        <xdr:cNvPicPr>
          <a:picLocks noChangeAspect="1" noChangeArrowheads="1"/>
        </xdr:cNvPicPr>
      </xdr:nvPicPr>
      <xdr:blipFill>
        <a:srcRect/>
        <a:stretch>
          <a:fillRect/>
        </a:stretch>
      </xdr:blipFill>
      <xdr:spPr>
        <a:xfrm>
          <a:off x="295275" y="266700"/>
          <a:ext cx="542925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12</xdr:col>
      <xdr:colOff>581902</xdr:colOff>
      <xdr:row>0</xdr:row>
      <xdr:rowOff>871</xdr:rowOff>
    </xdr:to>
    <xdr:sp macro="" textlink="">
      <xdr:nvSpPr>
        <xdr:cNvPr id="9" name="Text Box 2"/>
        <xdr:cNvSpPr txBox="1">
          <a:spLocks noChangeArrowheads="1"/>
        </xdr:cNvSpPr>
      </xdr:nvSpPr>
      <xdr:spPr>
        <a:xfrm>
          <a:off x="16611600" y="0"/>
          <a:ext cx="3086735" cy="635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id-ID" sz="700" b="0" i="0" strike="noStrike">
              <a:solidFill>
                <a:srgbClr val="000000"/>
              </a:solidFill>
              <a:latin typeface="Tahoma" panose="020B0604030504040204"/>
              <a:cs typeface="Tahoma" panose="020B0604030504040204"/>
            </a:rPr>
            <a:t>LAMPIRAN</a:t>
          </a:r>
          <a:r>
            <a:rPr lang="id-ID" sz="700" b="0" i="0" strike="noStrike" baseline="0">
              <a:solidFill>
                <a:srgbClr val="000000"/>
              </a:solidFill>
              <a:latin typeface="Tahoma" panose="020B0604030504040204"/>
              <a:cs typeface="Tahoma" panose="020B0604030504040204"/>
            </a:rPr>
            <a:t> XXI</a:t>
          </a:r>
        </a:p>
        <a:p>
          <a:pPr algn="l" rtl="1">
            <a:defRPr sz="1000"/>
          </a:pPr>
          <a:r>
            <a:rPr lang="id-ID" sz="700" b="0" i="0" strike="noStrike">
              <a:solidFill>
                <a:srgbClr val="000000"/>
              </a:solidFill>
              <a:latin typeface="Tahoma" panose="020B0604030504040204"/>
              <a:cs typeface="Tahoma" panose="020B0604030504040204"/>
            </a:rPr>
            <a:t>Catatan</a:t>
          </a:r>
          <a:r>
            <a:rPr lang="id-ID" sz="700" b="0" i="0" strike="noStrike" baseline="0">
              <a:solidFill>
                <a:srgbClr val="000000"/>
              </a:solidFill>
              <a:latin typeface="Tahoma" panose="020B0604030504040204"/>
              <a:cs typeface="Tahoma" panose="020B0604030504040204"/>
            </a:rPr>
            <a:t> atas Laporan Keuangan 2014</a:t>
          </a:r>
          <a:endParaRPr lang="en-US" sz="700" b="0" i="0" strike="noStrike">
            <a:solidFill>
              <a:srgbClr val="000000"/>
            </a:solidFill>
            <a:latin typeface="Tahoma" panose="020B0604030504040204"/>
            <a:cs typeface="Tahoma" panose="020B0604030504040204"/>
          </a:endParaRPr>
        </a:p>
      </xdr:txBody>
    </xdr:sp>
    <xdr:clientData/>
  </xdr:twoCellAnchor>
  <xdr:twoCellAnchor editAs="oneCell">
    <xdr:from>
      <xdr:col>9</xdr:col>
      <xdr:colOff>0</xdr:colOff>
      <xdr:row>0</xdr:row>
      <xdr:rowOff>45085</xdr:rowOff>
    </xdr:from>
    <xdr:to>
      <xdr:col>12</xdr:col>
      <xdr:colOff>183937</xdr:colOff>
      <xdr:row>0</xdr:row>
      <xdr:rowOff>49129</xdr:rowOff>
    </xdr:to>
    <xdr:sp macro="" textlink="">
      <xdr:nvSpPr>
        <xdr:cNvPr id="10" name="Text Box 2"/>
        <xdr:cNvSpPr txBox="1">
          <a:spLocks noChangeArrowheads="1"/>
        </xdr:cNvSpPr>
      </xdr:nvSpPr>
      <xdr:spPr>
        <a:xfrm>
          <a:off x="16611600" y="45085"/>
          <a:ext cx="2688590" cy="381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id-ID" sz="700" b="0" i="0" strike="noStrike">
              <a:solidFill>
                <a:srgbClr val="000000"/>
              </a:solidFill>
              <a:latin typeface="Tahoma" panose="020B0604030504040204"/>
              <a:cs typeface="Tahoma" panose="020B0604030504040204"/>
            </a:rPr>
            <a:t>LAMPIRAN</a:t>
          </a:r>
          <a:r>
            <a:rPr lang="id-ID" sz="700" b="0" i="0" strike="noStrike" baseline="0">
              <a:solidFill>
                <a:srgbClr val="000000"/>
              </a:solidFill>
              <a:latin typeface="Tahoma" panose="020B0604030504040204"/>
              <a:cs typeface="Tahoma" panose="020B0604030504040204"/>
            </a:rPr>
            <a:t> XII</a:t>
          </a:r>
        </a:p>
        <a:p>
          <a:pPr algn="l" rtl="1">
            <a:defRPr sz="1000"/>
          </a:pPr>
          <a:r>
            <a:rPr lang="id-ID" sz="700" b="0" i="0" strike="noStrike">
              <a:solidFill>
                <a:srgbClr val="000000"/>
              </a:solidFill>
              <a:latin typeface="Tahoma" panose="020B0604030504040204"/>
              <a:cs typeface="Tahoma" panose="020B0604030504040204"/>
            </a:rPr>
            <a:t>Catatan</a:t>
          </a:r>
          <a:r>
            <a:rPr lang="id-ID" sz="700" b="0" i="0" strike="noStrike" baseline="0">
              <a:solidFill>
                <a:srgbClr val="000000"/>
              </a:solidFill>
              <a:latin typeface="Tahoma" panose="020B0604030504040204"/>
              <a:cs typeface="Tahoma" panose="020B0604030504040204"/>
            </a:rPr>
            <a:t> atas Laporan Keuangan 2014</a:t>
          </a:r>
          <a:endParaRPr lang="en-US" sz="700" b="0" i="0" strike="noStrike">
            <a:solidFill>
              <a:srgbClr val="000000"/>
            </a:solidFill>
            <a:latin typeface="Tahoma" panose="020B0604030504040204"/>
            <a:cs typeface="Tahoma" panose="020B0604030504040204"/>
          </a:endParaRPr>
        </a:p>
      </xdr:txBody>
    </xdr:sp>
    <xdr:clientData/>
  </xdr:twoCellAnchor>
  <xdr:twoCellAnchor editAs="oneCell">
    <xdr:from>
      <xdr:col>3</xdr:col>
      <xdr:colOff>522604</xdr:colOff>
      <xdr:row>0</xdr:row>
      <xdr:rowOff>0</xdr:rowOff>
    </xdr:from>
    <xdr:to>
      <xdr:col>4</xdr:col>
      <xdr:colOff>410672</xdr:colOff>
      <xdr:row>0</xdr:row>
      <xdr:rowOff>25603</xdr:rowOff>
    </xdr:to>
    <xdr:sp macro="" textlink="">
      <xdr:nvSpPr>
        <xdr:cNvPr id="11" name="Text Box 2"/>
        <xdr:cNvSpPr txBox="1">
          <a:spLocks noChangeArrowheads="1"/>
        </xdr:cNvSpPr>
      </xdr:nvSpPr>
      <xdr:spPr>
        <a:xfrm>
          <a:off x="6513195" y="0"/>
          <a:ext cx="1640840" cy="2540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27432" tIns="22860" rIns="0" bIns="0" anchor="t" upright="1"/>
        <a:lstStyle/>
        <a:p>
          <a:pPr algn="l" rtl="1">
            <a:lnSpc>
              <a:spcPts val="700"/>
            </a:lnSpc>
            <a:defRPr sz="1000"/>
          </a:pPr>
          <a:r>
            <a:rPr lang="id-ID" sz="700" b="0" i="0" strike="noStrike">
              <a:solidFill>
                <a:srgbClr val="000000"/>
              </a:solidFill>
              <a:latin typeface="Tahoma" panose="020B0604030504040204"/>
              <a:cs typeface="Tahoma" panose="020B0604030504040204"/>
            </a:rPr>
            <a:t> </a:t>
          </a:r>
        </a:p>
        <a:p>
          <a:pPr algn="l" rtl="1">
            <a:lnSpc>
              <a:spcPts val="700"/>
            </a:lnSpc>
            <a:defRPr sz="1000"/>
          </a:pPr>
          <a:r>
            <a:rPr lang="id-ID" sz="700" b="0" i="0" strike="noStrike">
              <a:solidFill>
                <a:srgbClr val="000000"/>
              </a:solidFill>
              <a:latin typeface="Tahoma" panose="020B0604030504040204"/>
              <a:cs typeface="Tahoma" panose="020B0604030504040204"/>
            </a:rPr>
            <a:t>LAMPIRAN</a:t>
          </a:r>
          <a:r>
            <a:rPr lang="id-ID" sz="700" b="0" i="0" strike="noStrike" baseline="0">
              <a:solidFill>
                <a:srgbClr val="000000"/>
              </a:solidFill>
              <a:latin typeface="Tahoma" panose="020B0604030504040204"/>
              <a:cs typeface="Tahoma" panose="020B0604030504040204"/>
            </a:rPr>
            <a:t> VI                                                   </a:t>
          </a:r>
          <a:r>
            <a:rPr lang="id-ID" sz="700" b="0" i="0" strike="noStrike">
              <a:solidFill>
                <a:srgbClr val="000000"/>
              </a:solidFill>
              <a:latin typeface="Tahoma" panose="020B0604030504040204"/>
              <a:cs typeface="Tahoma" panose="020B0604030504040204"/>
            </a:rPr>
            <a:t>Catatan</a:t>
          </a:r>
          <a:r>
            <a:rPr lang="id-ID" sz="700" b="0" i="0" strike="noStrike" baseline="0">
              <a:solidFill>
                <a:srgbClr val="000000"/>
              </a:solidFill>
              <a:latin typeface="Tahoma" panose="020B0604030504040204"/>
              <a:cs typeface="Tahoma" panose="020B0604030504040204"/>
            </a:rPr>
            <a:t> atas Laporan Keuangan 2015</a:t>
          </a:r>
          <a:endParaRPr lang="en-US" sz="700" b="0" i="0" strike="noStrike">
            <a:solidFill>
              <a:srgbClr val="000000"/>
            </a:solidFill>
            <a:latin typeface="Tahoma" panose="020B0604030504040204"/>
            <a:cs typeface="Tahoma" panose="020B0604030504040204"/>
          </a:endParaRPr>
        </a:p>
      </xdr:txBody>
    </xdr:sp>
    <xdr:clientData/>
  </xdr:twoCellAnchor>
  <xdr:twoCellAnchor editAs="oneCell">
    <xdr:from>
      <xdr:col>7</xdr:col>
      <xdr:colOff>323215</xdr:colOff>
      <xdr:row>0</xdr:row>
      <xdr:rowOff>41275</xdr:rowOff>
    </xdr:from>
    <xdr:to>
      <xdr:col>7</xdr:col>
      <xdr:colOff>1205186</xdr:colOff>
      <xdr:row>0</xdr:row>
      <xdr:rowOff>42418</xdr:rowOff>
    </xdr:to>
    <xdr:sp macro="" textlink="">
      <xdr:nvSpPr>
        <xdr:cNvPr id="12" name="Text Box 2"/>
        <xdr:cNvSpPr txBox="1">
          <a:spLocks noChangeArrowheads="1"/>
        </xdr:cNvSpPr>
      </xdr:nvSpPr>
      <xdr:spPr>
        <a:xfrm>
          <a:off x="13353415" y="41275"/>
          <a:ext cx="881380" cy="635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id-ID" sz="700" b="0" i="0" strike="noStrike">
              <a:solidFill>
                <a:srgbClr val="000000"/>
              </a:solidFill>
              <a:latin typeface="Tahoma" panose="020B0604030504040204"/>
              <a:cs typeface="Tahoma" panose="020B0604030504040204"/>
            </a:rPr>
            <a:t>LAMPIRAN</a:t>
          </a:r>
          <a:r>
            <a:rPr lang="id-ID" sz="700" b="0" i="0" strike="noStrike" baseline="0">
              <a:solidFill>
                <a:srgbClr val="000000"/>
              </a:solidFill>
              <a:latin typeface="Tahoma" panose="020B0604030504040204"/>
              <a:cs typeface="Tahoma" panose="020B0604030504040204"/>
            </a:rPr>
            <a:t> VI </a:t>
          </a:r>
        </a:p>
        <a:p>
          <a:pPr algn="l" rtl="1">
            <a:defRPr sz="1000"/>
          </a:pPr>
          <a:r>
            <a:rPr lang="id-ID" sz="700" b="0" i="0" strike="noStrike">
              <a:solidFill>
                <a:srgbClr val="000000"/>
              </a:solidFill>
              <a:latin typeface="Tahoma" panose="020B0604030504040204"/>
              <a:cs typeface="Tahoma" panose="020B0604030504040204"/>
            </a:rPr>
            <a:t>Catatan</a:t>
          </a:r>
          <a:r>
            <a:rPr lang="id-ID" sz="700" b="0" i="0" strike="noStrike" baseline="0">
              <a:solidFill>
                <a:srgbClr val="000000"/>
              </a:solidFill>
              <a:latin typeface="Tahoma" panose="020B0604030504040204"/>
              <a:cs typeface="Tahoma" panose="020B0604030504040204"/>
            </a:rPr>
            <a:t> atas Laporan Keuangan 2015</a:t>
          </a:r>
          <a:endParaRPr lang="en-US" sz="700" b="0" i="0" strike="noStrike">
            <a:solidFill>
              <a:srgbClr val="000000"/>
            </a:solidFill>
            <a:latin typeface="Tahoma" panose="020B0604030504040204"/>
            <a:cs typeface="Tahoma" panose="020B0604030504040204"/>
          </a:endParaRPr>
        </a:p>
      </xdr:txBody>
    </xdr:sp>
    <xdr:clientData/>
  </xdr:twoCellAnchor>
  <xdr:oneCellAnchor>
    <xdr:from>
      <xdr:col>3</xdr:col>
      <xdr:colOff>859458</xdr:colOff>
      <xdr:row>0</xdr:row>
      <xdr:rowOff>0</xdr:rowOff>
    </xdr:from>
    <xdr:ext cx="947499" cy="6339366"/>
    <xdr:sp macro="" textlink="">
      <xdr:nvSpPr>
        <xdr:cNvPr id="13" name="Rectangle 12"/>
        <xdr:cNvSpPr/>
      </xdr:nvSpPr>
      <xdr:spPr>
        <a:xfrm rot="18699878">
          <a:off x="4154170" y="2695575"/>
          <a:ext cx="6339840" cy="947420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id-ID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N  I  H  I  L</a:t>
          </a:r>
          <a:endParaRPr lang="en-US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twoCellAnchor>
    <xdr:from>
      <xdr:col>0</xdr:col>
      <xdr:colOff>295275</xdr:colOff>
      <xdr:row>1</xdr:row>
      <xdr:rowOff>60325</xdr:rowOff>
    </xdr:from>
    <xdr:to>
      <xdr:col>1</xdr:col>
      <xdr:colOff>523875</xdr:colOff>
      <xdr:row>3</xdr:row>
      <xdr:rowOff>238125</xdr:rowOff>
    </xdr:to>
    <xdr:pic>
      <xdr:nvPicPr>
        <xdr:cNvPr id="14" name="Picture 424" descr="lambang daerah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295275" y="260350"/>
          <a:ext cx="561975" cy="711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320040</xdr:colOff>
      <xdr:row>1</xdr:row>
      <xdr:rowOff>114300</xdr:rowOff>
    </xdr:from>
    <xdr:to>
      <xdr:col>2</xdr:col>
      <xdr:colOff>609600</xdr:colOff>
      <xdr:row>4</xdr:row>
      <xdr:rowOff>60960</xdr:rowOff>
    </xdr:to>
    <xdr:sp macro="" textlink="">
      <xdr:nvSpPr>
        <xdr:cNvPr id="2" name="Picture 424" descr="lambang daerah"/>
        <xdr:cNvSpPr>
          <a:spLocks noChangeAspect="1" noChangeArrowheads="1"/>
        </xdr:cNvSpPr>
      </xdr:nvSpPr>
      <xdr:spPr bwMode="auto">
        <a:xfrm>
          <a:off x="643890" y="257175"/>
          <a:ext cx="289560" cy="4133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714375</xdr:colOff>
      <xdr:row>0</xdr:row>
      <xdr:rowOff>38098</xdr:rowOff>
    </xdr:from>
    <xdr:to>
      <xdr:col>12</xdr:col>
      <xdr:colOff>547333</xdr:colOff>
      <xdr:row>2</xdr:row>
      <xdr:rowOff>95249</xdr:rowOff>
    </xdr:to>
    <xdr:sp macro="" textlink="">
      <xdr:nvSpPr>
        <xdr:cNvPr id="4" name="Text Box 2"/>
        <xdr:cNvSpPr txBox="1">
          <a:spLocks noChangeArrowheads="1"/>
        </xdr:cNvSpPr>
      </xdr:nvSpPr>
      <xdr:spPr>
        <a:xfrm>
          <a:off x="9705975" y="38098"/>
          <a:ext cx="1528408" cy="342901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id-ID" sz="700" b="0" i="0" strike="noStrike">
              <a:solidFill>
                <a:srgbClr val="000000"/>
              </a:solidFill>
              <a:latin typeface="Tahoma" panose="020B0604030504040204"/>
              <a:cs typeface="Tahoma" panose="020B0604030504040204"/>
            </a:rPr>
            <a:t>LAMPIRAN IX</a:t>
          </a:r>
          <a:r>
            <a:rPr lang="id-ID" sz="700" b="0" i="0" strike="noStrike" baseline="0">
              <a:solidFill>
                <a:srgbClr val="000000"/>
              </a:solidFill>
              <a:latin typeface="Tahoma" panose="020B0604030504040204"/>
              <a:cs typeface="Tahoma" panose="020B0604030504040204"/>
            </a:rPr>
            <a:t> </a:t>
          </a:r>
        </a:p>
        <a:p>
          <a:pPr algn="l" rtl="1">
            <a:defRPr sz="1000"/>
          </a:pPr>
          <a:r>
            <a:rPr lang="id-ID" sz="700" b="0" i="0" strike="noStrike">
              <a:solidFill>
                <a:srgbClr val="000000"/>
              </a:solidFill>
              <a:latin typeface="Tahoma" panose="020B0604030504040204"/>
              <a:cs typeface="Tahoma" panose="020B0604030504040204"/>
            </a:rPr>
            <a:t>Catatan</a:t>
          </a:r>
          <a:r>
            <a:rPr lang="id-ID" sz="700" b="0" i="0" strike="noStrike" baseline="0">
              <a:solidFill>
                <a:srgbClr val="000000"/>
              </a:solidFill>
              <a:latin typeface="Tahoma" panose="020B0604030504040204"/>
              <a:cs typeface="Tahoma" panose="020B0604030504040204"/>
            </a:rPr>
            <a:t> atas Laporan Keuangan 2018</a:t>
          </a:r>
          <a:endParaRPr lang="en-US" sz="700" b="0" i="0" strike="noStrike">
            <a:solidFill>
              <a:srgbClr val="000000"/>
            </a:solidFill>
            <a:latin typeface="Tahoma" panose="020B0604030504040204"/>
            <a:cs typeface="Tahoma" panose="020B0604030504040204"/>
          </a:endParaRPr>
        </a:p>
      </xdr:txBody>
    </xdr:sp>
    <xdr:clientData/>
  </xdr:twoCellAnchor>
  <xdr:twoCellAnchor>
    <xdr:from>
      <xdr:col>2</xdr:col>
      <xdr:colOff>0</xdr:colOff>
      <xdr:row>1</xdr:row>
      <xdr:rowOff>0</xdr:rowOff>
    </xdr:from>
    <xdr:to>
      <xdr:col>2</xdr:col>
      <xdr:colOff>409575</xdr:colOff>
      <xdr:row>4</xdr:row>
      <xdr:rowOff>57150</xdr:rowOff>
    </xdr:to>
    <xdr:pic>
      <xdr:nvPicPr>
        <xdr:cNvPr id="5" name="Picture 424" descr="lambang daerah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23850" y="142875"/>
          <a:ext cx="409575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Users/SIPKD%20AKP/Documents/JURNAL%20PENERIMAAN%202012/PPK-SKPKD%20FEBRUARI%202012/Jurnal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IPKDBangka%20Belitung\Downloads\tarik%20data%20dari%20simda\Bunga%20Bank\12.%20smkn%202%20tanjungpandan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IPKDBangka%20Belitung\Downloads\tarik%20data%20dari%20simda\Bunga%20Bank\11.%20smkn%201%20tanjungpandan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IPKDBangka%20Belitung\Downloads\tarik%20data%20dari%20simda\Bunga%20Bank\9.%20smkn%201%20badau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IPKDBangka%20Belitung\Downloads\tarik%20data%20dari%20simda\Bunga%20Bank\10.%20smkn%201%20selat%20nasik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IPKDBangka%20Belitung\Downloads\tarik%20data%20dari%20simda\Bunga%20Bank\3.%20smkn%201%20koba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IPKDBangka%20Belitung\Downloads\tarik%20data%20dari%20simda\Bunga%20Bank\4.%20smkn%201%20pangkalanbaru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IPKDBangka%20Belitung\Downloads\tarik%20data%20dari%20simda\Bunga%20Bank\5.%20smkn%201%20sungaiselan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IPKDBangka%20Belitung\Downloads\tarik%20data%20dari%20simda\Bunga%20Bank\6.%20smkn%201%20toboali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IPKDBangka%20Belitung\Downloads\tarik%20data%20dari%20simda\Bunga%20Bank\8.%20smkn%201%20pulau%20besar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IPKDBangka%20Belitung\Downloads\tarik%20data%20dari%20simda\Bunga%20Bank\7.%20smkn%201%20tukak%20sadai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IPKD%20AKP\Documents\JURNAL%20PENERIMAAN%202012\PPK-SKPKD%20FEBRUARI%202012\Jurnal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ANGKA%20BELITUNG\PS\2019\LKPD%20PROVINSI%20TA%202018\INTERIM\IPP\tarik%20data%20simda\pendapatan%20bunga%20bank\2.%20sman%201%20muntok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ANGKA%20BELITUNG\PS\2019\LKPD%20PROVINSI%20TA%202018\INTERIM\IPP\tarik%20data%20simda\pendapatan%20bunga%20bank\6.%20sman%201%20manggar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ANGKA%20BELITUNG\PS\2019\LKPD%20PROVINSI%20TA%202018\INTERIM\IPP\tarik%20data%20simda\pendapatan%20bunga%20bank\1.%20sman%201%20pkp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ANGKA%20BELITUNG\PS\2019\LKPD%20PROVINSI%20TA%202018\INTERIM\IPP\tarik%20data%20simda\pendapatan%20bunga%20bank\5.%20smkn1%20tanjungpandan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ANGKA%20BELITUNG\PS\2019\LKPD%20PROVINSI%20TA%202018\INTERIM\IPP\tarik%20data%20simda\pendapatan%20bunga%20bank\4.%20smkn%201%20selat%20nasik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ANGKA%20BELITUNG\PS\2019\LKPD%20PROVINSI%20TA%202018\INTERIM\IPP\tarik%20data%20simda\pendapatan%20bunga%20bank\3.%20smkn%201%20muntok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ANGKA%20BELITUNG\PS\2019\LKPD%20PROVINSI%20TA%202018\INTERIM\IPP\tarik%20data%20simda\pendapatan%20bunga%20bank\8.%20smkn%201%20manggar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ANGKA%20BELITUNG\PS\2019\LKPD%20PROVINSI%20TA%202018\INTERIM\IPP\tarik%20data%20simda\pendapatan%20bunga%20bank\7.%20smkn%201%20kelapa%20kampi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IPKD%20AKP/Documents/JURNAL%20PENERIMAAN%202012/PPK-SKPKD%20FEBRUARI%202012/Jurnal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Users\SIPKD%20AKP\Documents\JURNAL%20PENERIMAAN%202012\PPK-SKPKD%20FEBRUARI%202012\Jurnal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SIPKD%20AKP\Documents\JURNAL%20PENERIMAAN%202012\PPK-SKPKD%20FEBRUARI%202012\Jurnal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wnloads\REKON%20ASET%20TAHUN%202018\REKON%20TAHUN%202018%20FINAL%2004-04-2019%20oke\Mutasi%20BMD%20s.d%20Tahun%202018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IPKDBangka%20Belitung\Downloads\B.6%20Paje%20dan%20Worksheet%20(3)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IPKDBangka%20Belitung\Downloads\tarik%20data%20dari%20simda\Bunga%20Bank\2.%20sman%202%20sungaiselan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IPKDBangka%20Belitung\Downloads\tarik%20data%20dari%20simda\Bunga%20Bank\1.%20smkn%201%20mendo%20barat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Jurnal"/>
      <sheetName val="Sheet2"/>
      <sheetName val="Sheet3"/>
      <sheetName val="Sheet1"/>
      <sheetName val="Sheet4"/>
      <sheetName val="Sheet5"/>
      <sheetName val="Sheet6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>
        <row r="23">
          <cell r="Q23">
            <v>406909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>
        <row r="23">
          <cell r="Q23">
            <v>261993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>
        <row r="23">
          <cell r="Q23">
            <v>124483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>
        <row r="23">
          <cell r="Q23">
            <v>628429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>
        <row r="23">
          <cell r="Q23">
            <v>209898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>
        <row r="23">
          <cell r="Q23">
            <v>1628181</v>
          </cell>
        </row>
      </sheetData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>
        <row r="23">
          <cell r="Q23">
            <v>276678</v>
          </cell>
        </row>
      </sheetData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>
        <row r="23">
          <cell r="Q23">
            <v>528018</v>
          </cell>
        </row>
      </sheetData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>
        <row r="23">
          <cell r="Q23">
            <v>8576</v>
          </cell>
        </row>
      </sheetData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>
        <row r="23">
          <cell r="Q23">
            <v>205626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Jurnal"/>
      <sheetName val="Sheet2"/>
      <sheetName val="Sheet3"/>
      <sheetName val="Sheet1"/>
      <sheetName val="Sheet4"/>
      <sheetName val="Sheet5"/>
      <sheetName val="Sheet6"/>
    </sheetNames>
    <sheetDataSet>
      <sheetData sheetId="0">
        <row r="1">
          <cell r="P1" t="str">
            <v>REF</v>
          </cell>
          <cell r="Q1" t="str">
            <v>URAIAN</v>
          </cell>
        </row>
        <row r="2">
          <cell r="P2">
            <v>11101</v>
          </cell>
          <cell r="Q2" t="str">
            <v>Kas di Kas Daerah</v>
          </cell>
        </row>
        <row r="3">
          <cell r="P3">
            <v>11102</v>
          </cell>
          <cell r="Q3" t="str">
            <v>Kas di Bendahara Penerimaan</v>
          </cell>
        </row>
        <row r="4">
          <cell r="P4">
            <v>11103</v>
          </cell>
          <cell r="Q4" t="str">
            <v>Kas di Bendahara Pengeluaran</v>
          </cell>
        </row>
        <row r="5">
          <cell r="P5">
            <v>11201</v>
          </cell>
          <cell r="Q5" t="str">
            <v>Investasi Jangka Pendek</v>
          </cell>
        </row>
        <row r="6">
          <cell r="P6">
            <v>11301</v>
          </cell>
          <cell r="Q6" t="str">
            <v xml:space="preserve">Piutang Pajak </v>
          </cell>
        </row>
        <row r="7">
          <cell r="P7">
            <v>11302</v>
          </cell>
          <cell r="Q7" t="str">
            <v>Piutang Retribusi</v>
          </cell>
        </row>
        <row r="8">
          <cell r="P8">
            <v>11303</v>
          </cell>
          <cell r="Q8" t="str">
            <v>Piutang Dana Bagi Hasil</v>
          </cell>
        </row>
        <row r="9">
          <cell r="P9">
            <v>11304</v>
          </cell>
          <cell r="Q9" t="str">
            <v>Piutang DAU</v>
          </cell>
        </row>
        <row r="10">
          <cell r="P10">
            <v>11305</v>
          </cell>
          <cell r="Q10" t="str">
            <v>Piutang DAK</v>
          </cell>
        </row>
        <row r="11">
          <cell r="P11">
            <v>11401</v>
          </cell>
          <cell r="Q11" t="str">
            <v>Bagian Lancar Tagihan Penjualan Angsuran</v>
          </cell>
        </row>
        <row r="12">
          <cell r="P12">
            <v>11402</v>
          </cell>
          <cell r="Q12" t="str">
            <v>Bagian Lancar Tuntutan Ganti Kerugian Daerah</v>
          </cell>
        </row>
        <row r="13">
          <cell r="P13">
            <v>11405</v>
          </cell>
          <cell r="Q13" t="str">
            <v>Bagian Lancar Pinjaman Kepada BUMD</v>
          </cell>
        </row>
        <row r="14">
          <cell r="P14">
            <v>11407</v>
          </cell>
          <cell r="Q14" t="str">
            <v>Piutang Lain-Lain</v>
          </cell>
        </row>
        <row r="15">
          <cell r="P15">
            <v>11501</v>
          </cell>
          <cell r="Q15" t="str">
            <v>Persediaan</v>
          </cell>
        </row>
        <row r="16">
          <cell r="P16">
            <v>12101</v>
          </cell>
          <cell r="Q16" t="str">
            <v>Pinjaman Kepada Perusahaan Negara</v>
          </cell>
        </row>
        <row r="17">
          <cell r="P17">
            <v>12102</v>
          </cell>
          <cell r="Q17" t="str">
            <v>Pinjaman Kepada Perusahaan Daerah</v>
          </cell>
        </row>
        <row r="18">
          <cell r="P18">
            <v>12103</v>
          </cell>
          <cell r="Q18" t="str">
            <v>Pinjaman Kepada Pemerintah Daerah Lainnya</v>
          </cell>
        </row>
        <row r="19">
          <cell r="P19">
            <v>12104</v>
          </cell>
          <cell r="Q19" t="str">
            <v>Investasi Dalam Surat Utang Negara</v>
          </cell>
        </row>
        <row r="20">
          <cell r="P20">
            <v>12105</v>
          </cell>
          <cell r="Q20" t="str">
            <v>Investasi Non Permanen Lainnya</v>
          </cell>
        </row>
        <row r="21">
          <cell r="P21">
            <v>12106</v>
          </cell>
          <cell r="Q21" t="str">
            <v>Investasi Dana Bergulir</v>
          </cell>
        </row>
        <row r="22">
          <cell r="P22">
            <v>12201</v>
          </cell>
          <cell r="Q22" t="str">
            <v>Penyertaan Modal Pemerintah Daerah</v>
          </cell>
        </row>
        <row r="23">
          <cell r="P23">
            <v>12202</v>
          </cell>
          <cell r="Q23" t="str">
            <v>Penyertaan Modal Dalam Proyek Pembangunan</v>
          </cell>
        </row>
        <row r="24">
          <cell r="P24">
            <v>12203</v>
          </cell>
          <cell r="Q24" t="str">
            <v>Penyertaan Modal Perusahaan Patungan</v>
          </cell>
        </row>
        <row r="25">
          <cell r="P25">
            <v>12204</v>
          </cell>
          <cell r="Q25" t="str">
            <v>Investasi Permanen Lainnya</v>
          </cell>
        </row>
        <row r="26">
          <cell r="P26">
            <v>13101</v>
          </cell>
          <cell r="Q26" t="str">
            <v>Tanah</v>
          </cell>
        </row>
        <row r="27">
          <cell r="P27">
            <v>13201</v>
          </cell>
          <cell r="Q27" t="str">
            <v>Alat-Alat Berat</v>
          </cell>
        </row>
        <row r="28">
          <cell r="P28">
            <v>13202</v>
          </cell>
          <cell r="Q28" t="str">
            <v>Alat-Alat Angkutan</v>
          </cell>
        </row>
        <row r="29">
          <cell r="P29">
            <v>13207</v>
          </cell>
          <cell r="Q29" t="str">
            <v>Alat Bengkel</v>
          </cell>
        </row>
        <row r="30">
          <cell r="P30">
            <v>13208</v>
          </cell>
          <cell r="Q30" t="str">
            <v>Alat Pertanian dan Peternakan</v>
          </cell>
        </row>
        <row r="31">
          <cell r="P31">
            <v>13209</v>
          </cell>
          <cell r="Q31" t="str">
            <v>Alat Kantor dan Rumah Tangga</v>
          </cell>
        </row>
        <row r="32">
          <cell r="P32">
            <v>13215</v>
          </cell>
          <cell r="Q32" t="str">
            <v>Alat Studio dan Komunikasi</v>
          </cell>
        </row>
        <row r="33">
          <cell r="P33">
            <v>13217</v>
          </cell>
          <cell r="Q33" t="str">
            <v>Alat Ukur</v>
          </cell>
        </row>
        <row r="34">
          <cell r="P34">
            <v>13218</v>
          </cell>
          <cell r="Q34" t="str">
            <v>Alat-Alat Kedokteran</v>
          </cell>
        </row>
        <row r="35">
          <cell r="P35">
            <v>13219</v>
          </cell>
          <cell r="Q35" t="str">
            <v>Alat Laboratorium</v>
          </cell>
        </row>
        <row r="36">
          <cell r="P36">
            <v>13220</v>
          </cell>
          <cell r="Q36" t="str">
            <v>Alat Keamanan</v>
          </cell>
        </row>
        <row r="37">
          <cell r="P37">
            <v>13301</v>
          </cell>
          <cell r="Q37" t="str">
            <v>Bangunan Gedung</v>
          </cell>
        </row>
        <row r="38">
          <cell r="P38">
            <v>13306</v>
          </cell>
          <cell r="Q38" t="str">
            <v>Bangunan Monumen</v>
          </cell>
        </row>
        <row r="39">
          <cell r="P39">
            <v>13401</v>
          </cell>
          <cell r="Q39" t="str">
            <v>Jalan dan Jembatan</v>
          </cell>
        </row>
        <row r="40">
          <cell r="P40">
            <v>13403</v>
          </cell>
          <cell r="Q40" t="str">
            <v>Bangunan Air (Irigasi)</v>
          </cell>
        </row>
        <row r="41">
          <cell r="P41">
            <v>13405</v>
          </cell>
          <cell r="Q41" t="str">
            <v>Instalasi</v>
          </cell>
        </row>
        <row r="42">
          <cell r="P42">
            <v>13406</v>
          </cell>
          <cell r="Q42" t="str">
            <v>Jaringan</v>
          </cell>
        </row>
        <row r="43">
          <cell r="P43">
            <v>13501</v>
          </cell>
          <cell r="Q43" t="str">
            <v>Buku dan Perpustakaan</v>
          </cell>
        </row>
        <row r="44">
          <cell r="P44">
            <v>13502</v>
          </cell>
          <cell r="Q44" t="str">
            <v>Barang Bercorak Kesenian/Kebudayaan</v>
          </cell>
        </row>
        <row r="45">
          <cell r="P45">
            <v>13503</v>
          </cell>
          <cell r="Q45" t="str">
            <v>Hewan/Ternak dan Tumbuhan</v>
          </cell>
        </row>
        <row r="46">
          <cell r="P46">
            <v>13504</v>
          </cell>
          <cell r="Q46" t="str">
            <v>Rambu/Plang Petunjuk</v>
          </cell>
        </row>
        <row r="47">
          <cell r="P47">
            <v>13601</v>
          </cell>
          <cell r="Q47" t="str">
            <v>Konstruksi Dalam Pengerjaan</v>
          </cell>
        </row>
        <row r="48">
          <cell r="P48">
            <v>13701</v>
          </cell>
          <cell r="Q48" t="str">
            <v>Akumulasi Penyusutan Aset Tetap</v>
          </cell>
        </row>
        <row r="49">
          <cell r="P49">
            <v>14101</v>
          </cell>
          <cell r="Q49" t="str">
            <v>Dana Cadangan</v>
          </cell>
        </row>
        <row r="50">
          <cell r="P50">
            <v>15101</v>
          </cell>
          <cell r="Q50" t="str">
            <v>Tagihan Penjualan Angsuran</v>
          </cell>
        </row>
        <row r="51">
          <cell r="P51">
            <v>15201</v>
          </cell>
          <cell r="Q51" t="str">
            <v>Tagihan Tuntutan Ganti Kerugian Daerah</v>
          </cell>
        </row>
        <row r="52">
          <cell r="P52">
            <v>15301</v>
          </cell>
          <cell r="Q52" t="str">
            <v>Kemitraan Dengan Pihak Ketiga</v>
          </cell>
        </row>
        <row r="53">
          <cell r="P53">
            <v>15401</v>
          </cell>
          <cell r="Q53" t="str">
            <v>Aset Tak Berwujud</v>
          </cell>
        </row>
        <row r="54">
          <cell r="P54">
            <v>15501</v>
          </cell>
          <cell r="Q54" t="str">
            <v>Aset Lain-Lain</v>
          </cell>
        </row>
        <row r="55">
          <cell r="P55">
            <v>16101</v>
          </cell>
          <cell r="Q55" t="str">
            <v>RK SKPD</v>
          </cell>
        </row>
        <row r="56">
          <cell r="P56">
            <v>21101</v>
          </cell>
          <cell r="Q56" t="str">
            <v>Utang Perhitungan Pihak Ketiga</v>
          </cell>
        </row>
        <row r="57">
          <cell r="P57">
            <v>21201</v>
          </cell>
          <cell r="Q57" t="str">
            <v>Utang Bunga</v>
          </cell>
        </row>
        <row r="58">
          <cell r="P58">
            <v>21301</v>
          </cell>
          <cell r="Q58" t="str">
            <v>Utang Pajak</v>
          </cell>
        </row>
        <row r="59">
          <cell r="P59">
            <v>21401</v>
          </cell>
          <cell r="Q59" t="str">
            <v>Bagian Lancar Utang Jangka Panjang Dalam Negeri</v>
          </cell>
        </row>
        <row r="60">
          <cell r="P60">
            <v>21501</v>
          </cell>
          <cell r="Q60" t="str">
            <v>Pendapatan Diterima Dimuka</v>
          </cell>
        </row>
        <row r="61">
          <cell r="P61">
            <v>21601</v>
          </cell>
          <cell r="Q61" t="str">
            <v>Utang Jangka Pendek Lainnya</v>
          </cell>
        </row>
        <row r="62">
          <cell r="P62">
            <v>22101</v>
          </cell>
          <cell r="Q62" t="str">
            <v>Utang Dalam Negeri</v>
          </cell>
        </row>
        <row r="63">
          <cell r="P63">
            <v>22201</v>
          </cell>
          <cell r="Q63" t="str">
            <v>Utang Luar Negeri</v>
          </cell>
        </row>
        <row r="64">
          <cell r="P64">
            <v>22301</v>
          </cell>
          <cell r="Q64" t="str">
            <v>Utang Jangka Panjang Lainnya</v>
          </cell>
        </row>
        <row r="65">
          <cell r="P65">
            <v>31101</v>
          </cell>
          <cell r="Q65" t="str">
            <v>Sisa Lebih Perhitungan Anggaran (SILPA)</v>
          </cell>
        </row>
        <row r="66">
          <cell r="P66">
            <v>31201</v>
          </cell>
          <cell r="Q66" t="str">
            <v>Cadangan Piutang</v>
          </cell>
        </row>
        <row r="67">
          <cell r="P67">
            <v>31301</v>
          </cell>
          <cell r="Q67" t="str">
            <v>Cadangan Persediaan</v>
          </cell>
        </row>
        <row r="68">
          <cell r="P68">
            <v>31401</v>
          </cell>
          <cell r="Q68" t="str">
            <v>Dana Yang Harus Disediakan Untuk Pembayaran Utang Jangka Pendek</v>
          </cell>
        </row>
        <row r="69">
          <cell r="P69">
            <v>31501</v>
          </cell>
          <cell r="Q69" t="str">
            <v>Pendapatan Yang Ditangguhkan</v>
          </cell>
        </row>
        <row r="70">
          <cell r="P70">
            <v>32101</v>
          </cell>
          <cell r="Q70" t="str">
            <v>Diinvestasikan Dalam Investasi Jangka Panjang</v>
          </cell>
        </row>
        <row r="71">
          <cell r="P71">
            <v>32201</v>
          </cell>
          <cell r="Q71" t="str">
            <v>Diinvestasikan Dalam Aset Tetap</v>
          </cell>
        </row>
        <row r="72">
          <cell r="P72">
            <v>32301</v>
          </cell>
          <cell r="Q72" t="str">
            <v>Diinvestasikan Dalam Aset Lainnya</v>
          </cell>
        </row>
        <row r="73">
          <cell r="P73">
            <v>32401</v>
          </cell>
          <cell r="Q73" t="str">
            <v>Dana Yang Harus Disediakan Untuk Pembayaran Utang Jangka Panjang</v>
          </cell>
        </row>
        <row r="74">
          <cell r="P74">
            <v>33101</v>
          </cell>
          <cell r="Q74" t="str">
            <v>Diinvestasikan dalam Dana Cadangan</v>
          </cell>
        </row>
        <row r="75">
          <cell r="P75">
            <v>34101</v>
          </cell>
          <cell r="Q75" t="str">
            <v>RK PPKD</v>
          </cell>
        </row>
        <row r="76">
          <cell r="P76">
            <v>41101</v>
          </cell>
          <cell r="Q76" t="str">
            <v>Pajak Kendaraan Bermotor</v>
          </cell>
        </row>
        <row r="77">
          <cell r="P77">
            <v>41102</v>
          </cell>
          <cell r="Q77" t="str">
            <v>Pajak Kendaraan Di Atas Air</v>
          </cell>
        </row>
        <row r="78">
          <cell r="P78">
            <v>41103</v>
          </cell>
          <cell r="Q78" t="str">
            <v>Bea Balik Nama Kendaraan Bermotor</v>
          </cell>
        </row>
        <row r="79">
          <cell r="P79">
            <v>41104</v>
          </cell>
          <cell r="Q79" t="str">
            <v>Bea Balik Nama Kendaraan Di Atas Air</v>
          </cell>
        </row>
        <row r="80">
          <cell r="P80">
            <v>41105</v>
          </cell>
          <cell r="Q80" t="str">
            <v>Pajak Bahan Bakar Kendaraan Bermotor</v>
          </cell>
        </row>
        <row r="81">
          <cell r="P81">
            <v>41106</v>
          </cell>
          <cell r="Q81" t="str">
            <v>Pajak Air Permukaan</v>
          </cell>
        </row>
        <row r="82">
          <cell r="P82">
            <v>41201</v>
          </cell>
          <cell r="Q82" t="str">
            <v>Retribusi Jasa Umum</v>
          </cell>
        </row>
        <row r="83">
          <cell r="P83">
            <v>41202</v>
          </cell>
          <cell r="Q83" t="str">
            <v>Retribusi Jasa Usaha</v>
          </cell>
        </row>
        <row r="84">
          <cell r="P84">
            <v>41203</v>
          </cell>
          <cell r="Q84" t="str">
            <v>Retribusi Perizinan Tertentu</v>
          </cell>
        </row>
        <row r="85">
          <cell r="P85">
            <v>41301</v>
          </cell>
          <cell r="Q85" t="str">
            <v>Bagian Laba Atas Penyertaan Modal Pada Perusahaan Milik Daerah/BUMD</v>
          </cell>
        </row>
        <row r="86">
          <cell r="P86">
            <v>41302</v>
          </cell>
          <cell r="Q86" t="str">
            <v>Bagian Laba Atas Penyertaan Modal Pada Perusahaan Milik Pemerintah/BUMN</v>
          </cell>
        </row>
        <row r="87">
          <cell r="P87">
            <v>41303</v>
          </cell>
          <cell r="Q87" t="str">
            <v>Bagian Laba Atas Penyertaan Modal Pada Perusahaan Patungan/Swasta</v>
          </cell>
        </row>
        <row r="88">
          <cell r="P88">
            <v>41401</v>
          </cell>
          <cell r="Q88" t="str">
            <v>Hasil Penjualan Aset Daerah Yang Tidak Dipisahkan</v>
          </cell>
        </row>
        <row r="89">
          <cell r="P89">
            <v>41402</v>
          </cell>
          <cell r="Q89" t="str">
            <v>Jasa Giro</v>
          </cell>
        </row>
        <row r="90">
          <cell r="P90">
            <v>41403</v>
          </cell>
          <cell r="Q90" t="str">
            <v>Pendapatan Bunga</v>
          </cell>
        </row>
        <row r="91">
          <cell r="P91">
            <v>41404</v>
          </cell>
          <cell r="Q91" t="str">
            <v>Tuntutan Ganti Rugi (TGR)</v>
          </cell>
        </row>
        <row r="92">
          <cell r="P92">
            <v>41406</v>
          </cell>
          <cell r="Q92" t="str">
            <v>Pendapatan Denda Atas Keterlambatan Pelaksanaan Pekerjaan</v>
          </cell>
        </row>
        <row r="93">
          <cell r="P93">
            <v>41407</v>
          </cell>
          <cell r="Q93" t="str">
            <v>Pendapatan Denda Pajak</v>
          </cell>
        </row>
        <row r="94">
          <cell r="P94">
            <v>41408</v>
          </cell>
          <cell r="Q94" t="str">
            <v>Pendapatan Denda Retribusi</v>
          </cell>
        </row>
        <row r="95">
          <cell r="P95">
            <v>41410</v>
          </cell>
          <cell r="Q95" t="str">
            <v>Pendapatan dari Pengembalian</v>
          </cell>
        </row>
        <row r="96">
          <cell r="P96">
            <v>41411</v>
          </cell>
          <cell r="Q96" t="str">
            <v xml:space="preserve">Fasilitasi Sosial </v>
          </cell>
        </row>
        <row r="97">
          <cell r="P97">
            <v>41412</v>
          </cell>
          <cell r="Q97" t="str">
            <v>Pendapatan dari Penyelenggaraan Pendidikan dan Pelatihan</v>
          </cell>
        </row>
        <row r="98">
          <cell r="P98">
            <v>41413</v>
          </cell>
          <cell r="Q98" t="str">
            <v>Pendapatan dari Angsuran/Cicilan Penjualan</v>
          </cell>
        </row>
        <row r="99">
          <cell r="P99">
            <v>42101</v>
          </cell>
          <cell r="Q99" t="str">
            <v>Bagi Hasil Pajak</v>
          </cell>
        </row>
        <row r="100">
          <cell r="P100">
            <v>42102</v>
          </cell>
          <cell r="Q100" t="str">
            <v>Bagi Hasil Bukan Pajak/SDA</v>
          </cell>
        </row>
        <row r="101">
          <cell r="P101">
            <v>42201</v>
          </cell>
          <cell r="Q101" t="str">
            <v>DAU</v>
          </cell>
        </row>
        <row r="102">
          <cell r="P102">
            <v>42301</v>
          </cell>
          <cell r="Q102" t="str">
            <v>DAK</v>
          </cell>
        </row>
        <row r="103">
          <cell r="P103">
            <v>43201</v>
          </cell>
          <cell r="Q103" t="str">
            <v>Penanggulangan Korban/Kerusakan Akibat Bencana Alam</v>
          </cell>
        </row>
        <row r="104">
          <cell r="P104">
            <v>43301</v>
          </cell>
          <cell r="Q104" t="str">
            <v>Dana Bagi Hasil Pajak dari Provinsi</v>
          </cell>
        </row>
        <row r="105">
          <cell r="P105">
            <v>43302</v>
          </cell>
          <cell r="Q105" t="str">
            <v>Dana Bagi Hasil Pajak dari Kabupaten</v>
          </cell>
        </row>
        <row r="106">
          <cell r="P106">
            <v>43303</v>
          </cell>
          <cell r="Q106" t="str">
            <v>Dana Bagi Hasil Pajak dari Kota</v>
          </cell>
        </row>
        <row r="107">
          <cell r="P107">
            <v>43401</v>
          </cell>
          <cell r="Q107" t="str">
            <v>Dana Penyesuaian</v>
          </cell>
        </row>
        <row r="108">
          <cell r="P108">
            <v>43402</v>
          </cell>
          <cell r="Q108" t="str">
            <v>Dana Otonomi Khusus</v>
          </cell>
        </row>
        <row r="109">
          <cell r="P109">
            <v>43501</v>
          </cell>
          <cell r="Q109" t="str">
            <v>Bantuan Keuangan dari Provinsi</v>
          </cell>
        </row>
        <row r="110">
          <cell r="P110">
            <v>43502</v>
          </cell>
          <cell r="Q110" t="str">
            <v>Bantuan Keuangan dari Kabupaten</v>
          </cell>
        </row>
        <row r="111">
          <cell r="P111">
            <v>43503</v>
          </cell>
          <cell r="Q111" t="str">
            <v>Bantuan Keuangan dari Kota</v>
          </cell>
        </row>
        <row r="112">
          <cell r="P112">
            <v>51101</v>
          </cell>
          <cell r="Q112" t="str">
            <v>Gaji dan Tunjangan</v>
          </cell>
        </row>
        <row r="113">
          <cell r="P113">
            <v>51102</v>
          </cell>
          <cell r="Q113" t="str">
            <v>Tambahan penghasilan PNS</v>
          </cell>
        </row>
        <row r="114">
          <cell r="P114">
            <v>51103</v>
          </cell>
          <cell r="Q114" t="str">
            <v>Belanja Penerimaan Lainnya Pimpinan dan Anggota DPRD serta KDH/WKDH</v>
          </cell>
        </row>
        <row r="115">
          <cell r="P115">
            <v>51104</v>
          </cell>
          <cell r="Q115" t="str">
            <v>Biaya Pemungutan Pajak Daerah</v>
          </cell>
        </row>
        <row r="116">
          <cell r="P116">
            <v>51201</v>
          </cell>
          <cell r="Q116" t="str">
            <v>Bunga utang pinjaman</v>
          </cell>
        </row>
        <row r="117">
          <cell r="P117">
            <v>51202</v>
          </cell>
          <cell r="Q117" t="str">
            <v>Bunga utang obligasi</v>
          </cell>
        </row>
        <row r="118">
          <cell r="P118">
            <v>51301</v>
          </cell>
          <cell r="Q118" t="str">
            <v>Bunga Subsidi kepada Perusahaan/Lembaga</v>
          </cell>
        </row>
        <row r="119">
          <cell r="P119">
            <v>51401</v>
          </cell>
          <cell r="Q119" t="str">
            <v>Belanja Hibah kepada Pemerintah Pusat</v>
          </cell>
        </row>
        <row r="120">
          <cell r="P120">
            <v>51402</v>
          </cell>
          <cell r="Q120" t="str">
            <v>Belanja Hibah kepada Pemerintah Daerah Lainnya</v>
          </cell>
        </row>
        <row r="121">
          <cell r="P121">
            <v>51403</v>
          </cell>
          <cell r="Q121" t="str">
            <v>Belanja Hibah kepada Pemerintah Desa</v>
          </cell>
        </row>
        <row r="122">
          <cell r="P122">
            <v>51404</v>
          </cell>
          <cell r="Q122" t="str">
            <v>Belanja Hibah kepada Perusahaan Daerah/BUMD/BUMN</v>
          </cell>
        </row>
        <row r="123">
          <cell r="P123">
            <v>51405</v>
          </cell>
          <cell r="Q123" t="str">
            <v>Belanja Hibah kepada Badan/Lembaga/Organisasi</v>
          </cell>
        </row>
        <row r="124">
          <cell r="P124">
            <v>51406</v>
          </cell>
          <cell r="Q124" t="str">
            <v>Belanja Hibah kepada Kelompok/Anggota Masyarakat</v>
          </cell>
        </row>
        <row r="125">
          <cell r="P125">
            <v>51501</v>
          </cell>
          <cell r="Q125" t="str">
            <v>Belanja Bantuan Sosial kepada Organisasi Sosial Kemasyarakatan</v>
          </cell>
        </row>
        <row r="126">
          <cell r="P126">
            <v>51502</v>
          </cell>
          <cell r="Q126" t="str">
            <v>Belanja Bantuan Sosial kepada Kelompok Masyarakat</v>
          </cell>
        </row>
        <row r="127">
          <cell r="P127">
            <v>51503</v>
          </cell>
          <cell r="Q127" t="str">
            <v>Belanja Bantuan Sosial kepada Anggota Masyarakat</v>
          </cell>
        </row>
        <row r="128">
          <cell r="P128">
            <v>51504</v>
          </cell>
          <cell r="Q128" t="str">
            <v>Belanja Bantuan Partai Politik</v>
          </cell>
        </row>
        <row r="129">
          <cell r="P129">
            <v>51601</v>
          </cell>
          <cell r="Q129" t="str">
            <v>Belanja Bagi Hasil Pajak Daerah kepada Provinsi</v>
          </cell>
        </row>
        <row r="130">
          <cell r="P130">
            <v>51602</v>
          </cell>
          <cell r="Q130" t="str">
            <v>Belanja Bagi Hasil Pajak Daerah kepada Kabupaten/Kota</v>
          </cell>
        </row>
        <row r="131">
          <cell r="P131">
            <v>51603</v>
          </cell>
          <cell r="Q131" t="str">
            <v>Belanja Bagi Hasil Pajak Daerah kepada Pemerintah Desa</v>
          </cell>
        </row>
        <row r="132">
          <cell r="P132">
            <v>51604</v>
          </cell>
          <cell r="Q132" t="str">
            <v>Belanja Bagi Hasil Retribusi Daerah kepada Kabupaten/Kota</v>
          </cell>
        </row>
        <row r="133">
          <cell r="P133">
            <v>51605</v>
          </cell>
          <cell r="Q133" t="str">
            <v>Belanja Bagi Hasil Retribusi Daerah kepada Pemerintah Desa</v>
          </cell>
        </row>
        <row r="134">
          <cell r="P134">
            <v>51701</v>
          </cell>
          <cell r="Q134" t="str">
            <v>Belanja Bantuan Keuangan Kepada Provinsi</v>
          </cell>
        </row>
        <row r="135">
          <cell r="P135">
            <v>51702</v>
          </cell>
          <cell r="Q135" t="str">
            <v>Belanja Bantuan Keuangan Kepada Kabupaten/Kota</v>
          </cell>
        </row>
        <row r="136">
          <cell r="P136">
            <v>51703</v>
          </cell>
          <cell r="Q136" t="str">
            <v>Belanja Bantuan Keuangan Kepada Desa</v>
          </cell>
        </row>
        <row r="137">
          <cell r="P137">
            <v>51704</v>
          </cell>
          <cell r="Q137" t="str">
            <v>Belanja Bantuan Keuangan kepada Pemerintah Daerah/Pemerintah Desa Lainnya</v>
          </cell>
        </row>
        <row r="138">
          <cell r="P138">
            <v>51801</v>
          </cell>
          <cell r="Q138" t="str">
            <v>Belanja Tidak Terduga</v>
          </cell>
        </row>
        <row r="139">
          <cell r="P139">
            <v>52101</v>
          </cell>
          <cell r="Q139" t="str">
            <v>Honorarium PNS</v>
          </cell>
        </row>
        <row r="140">
          <cell r="P140">
            <v>52102</v>
          </cell>
          <cell r="Q140" t="str">
            <v>Honorarium Non PNS</v>
          </cell>
        </row>
        <row r="141">
          <cell r="P141">
            <v>52103</v>
          </cell>
          <cell r="Q141" t="str">
            <v>Uang lembur</v>
          </cell>
        </row>
        <row r="142">
          <cell r="P142">
            <v>52201</v>
          </cell>
          <cell r="Q142" t="str">
            <v>Belanja Bahan Pakai Habis</v>
          </cell>
        </row>
        <row r="143">
          <cell r="P143">
            <v>52202</v>
          </cell>
          <cell r="Q143" t="str">
            <v>Belanja Bahan/Material</v>
          </cell>
        </row>
        <row r="144">
          <cell r="P144">
            <v>52203</v>
          </cell>
          <cell r="Q144" t="str">
            <v>Belanja Jasa kantor</v>
          </cell>
        </row>
        <row r="145">
          <cell r="P145">
            <v>52204</v>
          </cell>
          <cell r="Q145" t="str">
            <v>Belanja Premi Asuransi</v>
          </cell>
        </row>
        <row r="146">
          <cell r="P146">
            <v>52205</v>
          </cell>
          <cell r="Q146" t="str">
            <v>Belanja Perawatan Kendaraan Bermotor</v>
          </cell>
        </row>
        <row r="147">
          <cell r="P147">
            <v>52206</v>
          </cell>
          <cell r="Q147" t="str">
            <v>Belanja Cetak dan Penggandaan</v>
          </cell>
        </row>
        <row r="148">
          <cell r="P148">
            <v>52207</v>
          </cell>
          <cell r="Q148" t="str">
            <v>Belanja Sewa Rumah/Gedung/Gudang/Parkir</v>
          </cell>
        </row>
        <row r="149">
          <cell r="P149">
            <v>52208</v>
          </cell>
          <cell r="Q149" t="str">
            <v>Belanja Sewa Sarana Mobilitas</v>
          </cell>
        </row>
        <row r="150">
          <cell r="P150">
            <v>52209</v>
          </cell>
          <cell r="Q150" t="str">
            <v>Belanja Sewa Alat Berat</v>
          </cell>
        </row>
        <row r="151">
          <cell r="P151">
            <v>52210</v>
          </cell>
          <cell r="Q151" t="str">
            <v>Belanja Sewa Perlengkapan dan Peralatan kantor</v>
          </cell>
        </row>
        <row r="152">
          <cell r="P152">
            <v>52211</v>
          </cell>
          <cell r="Q152" t="str">
            <v>Belanja makanan dan minuman</v>
          </cell>
        </row>
        <row r="153">
          <cell r="P153">
            <v>52212</v>
          </cell>
          <cell r="Q153" t="str">
            <v>Belanja pakaian dinas dan atribut</v>
          </cell>
        </row>
        <row r="154">
          <cell r="P154">
            <v>52213</v>
          </cell>
          <cell r="Q154" t="str">
            <v>Belanja pakaian kerja</v>
          </cell>
        </row>
        <row r="155">
          <cell r="P155">
            <v>52214</v>
          </cell>
          <cell r="Q155" t="str">
            <v>Belanja pakaian khusus dan hari-hari tertentu</v>
          </cell>
        </row>
        <row r="156">
          <cell r="P156">
            <v>52215</v>
          </cell>
          <cell r="Q156" t="str">
            <v>Belanja perjalanan dinas</v>
          </cell>
        </row>
        <row r="157">
          <cell r="P157">
            <v>52216</v>
          </cell>
          <cell r="Q157" t="str">
            <v>Belanja beasiswa pendidikan PNS</v>
          </cell>
        </row>
        <row r="158">
          <cell r="P158">
            <v>52217</v>
          </cell>
          <cell r="Q158" t="str">
            <v>Belanja kursus, pelatihan, sosialisasi dan bimbingan teknis PNS</v>
          </cell>
        </row>
        <row r="159">
          <cell r="P159">
            <v>52218</v>
          </cell>
          <cell r="Q159" t="str">
            <v>Belanja perjalanan pindah tugas</v>
          </cell>
        </row>
        <row r="160">
          <cell r="P160">
            <v>52219</v>
          </cell>
          <cell r="Q160" t="str">
            <v>Belanja pemulangan pegawai</v>
          </cell>
        </row>
        <row r="161">
          <cell r="P161">
            <v>52220</v>
          </cell>
          <cell r="Q161" t="str">
            <v>Belanja pemeliharaan</v>
          </cell>
        </row>
        <row r="162">
          <cell r="P162">
            <v>52221</v>
          </cell>
          <cell r="Q162" t="str">
            <v>Belanja jasa konsultasi</v>
          </cell>
        </row>
        <row r="163">
          <cell r="P163">
            <v>52222</v>
          </cell>
          <cell r="Q163" t="str">
            <v>Belanja jasa publikasi</v>
          </cell>
        </row>
        <row r="164">
          <cell r="P164">
            <v>52301</v>
          </cell>
          <cell r="Q164" t="str">
            <v>Belanja modal pengadaan tanah</v>
          </cell>
        </row>
        <row r="165">
          <cell r="P165">
            <v>52302</v>
          </cell>
          <cell r="Q165" t="str">
            <v>Belanja modal pengadaan alat-alat berat</v>
          </cell>
        </row>
        <row r="166">
          <cell r="P166">
            <v>52303</v>
          </cell>
          <cell r="Q166" t="str">
            <v>Belanja modal pengadaan alat-alat angkutan darat bermotor</v>
          </cell>
        </row>
        <row r="167">
          <cell r="P167">
            <v>52304</v>
          </cell>
          <cell r="Q167" t="str">
            <v>Belanja modal pengadaan alat-alat angkutan darat tidak bermotor</v>
          </cell>
        </row>
        <row r="168">
          <cell r="P168">
            <v>52305</v>
          </cell>
          <cell r="Q168" t="str">
            <v>Belanja modal pengadaan alat-alat angkutan di air bermotor</v>
          </cell>
        </row>
        <row r="169">
          <cell r="P169">
            <v>52306</v>
          </cell>
          <cell r="Q169" t="str">
            <v>Belanja modal pengadaan alat-alat angkutan di air tidak bermotor</v>
          </cell>
        </row>
        <row r="170">
          <cell r="P170">
            <v>52308</v>
          </cell>
          <cell r="Q170" t="str">
            <v>Belanja modal pengadaan alat-alat bengkel</v>
          </cell>
        </row>
        <row r="171">
          <cell r="P171">
            <v>52309</v>
          </cell>
          <cell r="Q171" t="str">
            <v>Belanja modal pengadaan alat-alat pengolahan pertanian dan peternakan</v>
          </cell>
        </row>
        <row r="172">
          <cell r="P172">
            <v>52310</v>
          </cell>
          <cell r="Q172" t="str">
            <v>Belanja modal pengadaan peralatan kantor</v>
          </cell>
        </row>
        <row r="173">
          <cell r="P173">
            <v>52311</v>
          </cell>
          <cell r="Q173" t="str">
            <v>Belanja modal pengadaan perlengkapan kantor</v>
          </cell>
        </row>
        <row r="174">
          <cell r="P174">
            <v>52312</v>
          </cell>
          <cell r="Q174" t="str">
            <v>Belanja modal pengadaan komputer</v>
          </cell>
        </row>
        <row r="175">
          <cell r="P175">
            <v>52313</v>
          </cell>
          <cell r="Q175" t="str">
            <v>Belanja modal pengadaan meubelair</v>
          </cell>
        </row>
        <row r="176">
          <cell r="P176">
            <v>52314</v>
          </cell>
          <cell r="Q176" t="str">
            <v>Belanja modal pengadaan peralatan dapur</v>
          </cell>
        </row>
        <row r="177">
          <cell r="P177">
            <v>52315</v>
          </cell>
          <cell r="Q177" t="str">
            <v>Belanja modal pengadaan penghias ruangan rumah tangga</v>
          </cell>
        </row>
        <row r="178">
          <cell r="P178">
            <v>52316</v>
          </cell>
          <cell r="Q178" t="str">
            <v>Belanja modal pengadaan alat-alat studio</v>
          </cell>
        </row>
        <row r="179">
          <cell r="P179">
            <v>52317</v>
          </cell>
          <cell r="Q179" t="str">
            <v>Belanja modal pengadaan alat-alat komunikasi</v>
          </cell>
        </row>
        <row r="180">
          <cell r="P180">
            <v>52318</v>
          </cell>
          <cell r="Q180" t="str">
            <v>Belanja modal pengadaan alat-alat ukur</v>
          </cell>
        </row>
        <row r="181">
          <cell r="P181">
            <v>52319</v>
          </cell>
          <cell r="Q181" t="str">
            <v>Belanja modal pengadaan alat-alat kedokteran</v>
          </cell>
        </row>
        <row r="182">
          <cell r="P182">
            <v>52320</v>
          </cell>
          <cell r="Q182" t="str">
            <v>Belanja modal pengadaan alat-alat laboratorium</v>
          </cell>
        </row>
        <row r="183">
          <cell r="P183">
            <v>52321</v>
          </cell>
          <cell r="Q183" t="str">
            <v>Belanja modal pengadaan konstruksi jalan</v>
          </cell>
        </row>
        <row r="184">
          <cell r="P184">
            <v>52322</v>
          </cell>
          <cell r="Q184" t="str">
            <v>Belanja modal pengadaan konstruksi jembatan</v>
          </cell>
        </row>
        <row r="185">
          <cell r="P185">
            <v>52323</v>
          </cell>
          <cell r="Q185" t="str">
            <v>Belanja modal pengadaan konstruksi jaringan air</v>
          </cell>
        </row>
        <row r="186">
          <cell r="P186">
            <v>52324</v>
          </cell>
          <cell r="Q186" t="str">
            <v>Belanja modal pengadaan penerangan jalan, taman dan hutan</v>
          </cell>
        </row>
        <row r="187">
          <cell r="P187">
            <v>52325</v>
          </cell>
          <cell r="Q187" t="str">
            <v>Belanja modal pengadaan instalasi listrik dan telepon</v>
          </cell>
        </row>
        <row r="188">
          <cell r="P188">
            <v>52326</v>
          </cell>
          <cell r="Q188" t="str">
            <v>Belanja modal pengadaan konstruksi/pembelian bangunan</v>
          </cell>
        </row>
        <row r="189">
          <cell r="P189">
            <v>52327</v>
          </cell>
          <cell r="Q189" t="str">
            <v>Belanja modal pengadaan buku/perpustakaan</v>
          </cell>
        </row>
        <row r="190">
          <cell r="P190">
            <v>52328</v>
          </cell>
          <cell r="Q190" t="str">
            <v>Belanja modal pengadaan barang bercorak kesenian, kebudayaan</v>
          </cell>
        </row>
        <row r="191">
          <cell r="P191">
            <v>52329</v>
          </cell>
          <cell r="Q191" t="str">
            <v>Belanja modal pengadaan hewan/ternak dan tanaman</v>
          </cell>
        </row>
        <row r="192">
          <cell r="P192">
            <v>52330</v>
          </cell>
          <cell r="Q192" t="str">
            <v>Belanja modal pengadaan alat persenjataan/keamanan</v>
          </cell>
        </row>
        <row r="193">
          <cell r="P193">
            <v>52331</v>
          </cell>
          <cell r="Q193" t="str">
            <v>Belanja modal pengadaan konstruksi bangunan</v>
          </cell>
        </row>
        <row r="194">
          <cell r="P194">
            <v>52332</v>
          </cell>
          <cell r="Q194" t="str">
            <v>Belanja modal pengadaan rambu/plang petunjuk</v>
          </cell>
        </row>
        <row r="195">
          <cell r="P195">
            <v>52333</v>
          </cell>
          <cell r="Q195" t="str">
            <v>Belanja modal reklamasi</v>
          </cell>
        </row>
        <row r="196">
          <cell r="P196">
            <v>61101</v>
          </cell>
          <cell r="Q196" t="str">
            <v>Sisa Lebih Perhitungan Anggaran (SILPA) Tahun Anggaran Sebelumnya</v>
          </cell>
        </row>
        <row r="197">
          <cell r="P197">
            <v>61201</v>
          </cell>
          <cell r="Q197" t="str">
            <v xml:space="preserve"> Pencairan Dana Cadangan</v>
          </cell>
        </row>
        <row r="198">
          <cell r="P198">
            <v>61301</v>
          </cell>
          <cell r="Q198" t="str">
            <v>Hasil Penjualan Kekayaan Daerah Yang Dipisahkan</v>
          </cell>
        </row>
        <row r="199">
          <cell r="P199">
            <v>61401</v>
          </cell>
          <cell r="Q199" t="str">
            <v xml:space="preserve">Penerimaan Pinjaman Daerah </v>
          </cell>
        </row>
        <row r="200">
          <cell r="P200">
            <v>61501</v>
          </cell>
          <cell r="Q200" t="str">
            <v>Penerimaan Kembali Pemberian Pinjaman</v>
          </cell>
        </row>
        <row r="201">
          <cell r="P201">
            <v>61601</v>
          </cell>
          <cell r="Q201" t="str">
            <v>Penerimaan Piutang Daerah</v>
          </cell>
        </row>
        <row r="202">
          <cell r="P202">
            <v>62101</v>
          </cell>
          <cell r="Q202" t="str">
            <v>Pembentukan Dana Cadangan</v>
          </cell>
        </row>
        <row r="203">
          <cell r="P203">
            <v>62201</v>
          </cell>
          <cell r="Q203" t="str">
            <v>Penyertaan Modal (Investasi) Pemerintah Daerah</v>
          </cell>
        </row>
        <row r="204">
          <cell r="P204">
            <v>62301</v>
          </cell>
          <cell r="Q204" t="str">
            <v>Pembayaran pokok utang</v>
          </cell>
        </row>
        <row r="205">
          <cell r="P205">
            <v>62401</v>
          </cell>
          <cell r="Q205" t="str">
            <v>Pemberian pinjaman daerah</v>
          </cell>
        </row>
        <row r="206">
          <cell r="P206">
            <v>63001</v>
          </cell>
          <cell r="Q206" t="str">
            <v>Sisa Lebih Pembiayaan Anggaran Tahun Berkenaan</v>
          </cell>
        </row>
        <row r="207">
          <cell r="P207">
            <v>114071</v>
          </cell>
          <cell r="Q207" t="str">
            <v>Uang Muka Proyek</v>
          </cell>
        </row>
        <row r="208">
          <cell r="P208">
            <v>411061</v>
          </cell>
          <cell r="Q208" t="str">
            <v>Pajak air Bawah Tanah</v>
          </cell>
        </row>
        <row r="209">
          <cell r="P209">
            <v>414111</v>
          </cell>
          <cell r="Q209" t="str">
            <v>Fasilitas Umum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>
        <row r="23">
          <cell r="Q23">
            <v>223201</v>
          </cell>
        </row>
      </sheetData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>
        <row r="23">
          <cell r="Q23">
            <v>85473</v>
          </cell>
        </row>
      </sheetData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>
        <row r="23">
          <cell r="Q23">
            <v>256546</v>
          </cell>
        </row>
      </sheetData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>
        <row r="23">
          <cell r="Q23">
            <v>182027</v>
          </cell>
        </row>
      </sheetData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>
        <row r="23">
          <cell r="Q23">
            <v>53772</v>
          </cell>
        </row>
      </sheetData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>
        <row r="23">
          <cell r="Q23">
            <v>74134</v>
          </cell>
        </row>
      </sheetData>
    </sheetDataSet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>
        <row r="23">
          <cell r="Q23">
            <v>51170</v>
          </cell>
        </row>
      </sheetData>
    </sheetDataSet>
  </externalBook>
</externalLink>
</file>

<file path=xl/externalLinks/externalLink27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>
        <row r="23">
          <cell r="Q23">
            <v>38822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Jurnal"/>
      <sheetName val="Sheet2"/>
      <sheetName val="Sheet3"/>
      <sheetName val="Sheet1"/>
      <sheetName val="Sheet4"/>
      <sheetName val="Sheet5"/>
      <sheetName val="Sheet6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Jurnal"/>
      <sheetName val="Sheet2"/>
      <sheetName val="Sheet3"/>
      <sheetName val="Sheet1"/>
      <sheetName val="Sheet4"/>
      <sheetName val="Sheet5"/>
      <sheetName val="Sheet6"/>
    </sheetNames>
    <sheetDataSet>
      <sheetData sheetId="0">
        <row r="1">
          <cell r="P1" t="str">
            <v>REF</v>
          </cell>
          <cell r="Q1" t="str">
            <v>URAIAN</v>
          </cell>
        </row>
        <row r="2">
          <cell r="P2">
            <v>11101</v>
          </cell>
          <cell r="Q2" t="str">
            <v>Kas di Kas Daerah</v>
          </cell>
        </row>
        <row r="3">
          <cell r="P3">
            <v>11102</v>
          </cell>
          <cell r="Q3" t="str">
            <v>Kas di Bendahara Penerimaan</v>
          </cell>
        </row>
        <row r="4">
          <cell r="P4">
            <v>11103</v>
          </cell>
          <cell r="Q4" t="str">
            <v>Kas di Bendahara Pengeluaran</v>
          </cell>
        </row>
        <row r="5">
          <cell r="P5">
            <v>11201</v>
          </cell>
          <cell r="Q5" t="str">
            <v>Investasi Jangka Pendek</v>
          </cell>
        </row>
        <row r="6">
          <cell r="P6">
            <v>11301</v>
          </cell>
          <cell r="Q6" t="str">
            <v xml:space="preserve">Piutang Pajak </v>
          </cell>
        </row>
        <row r="7">
          <cell r="P7">
            <v>11302</v>
          </cell>
          <cell r="Q7" t="str">
            <v>Piutang Retribusi</v>
          </cell>
        </row>
        <row r="8">
          <cell r="P8">
            <v>11303</v>
          </cell>
          <cell r="Q8" t="str">
            <v>Piutang Dana Bagi Hasil</v>
          </cell>
        </row>
        <row r="9">
          <cell r="P9">
            <v>11304</v>
          </cell>
          <cell r="Q9" t="str">
            <v>Piutang DAU</v>
          </cell>
        </row>
        <row r="10">
          <cell r="P10">
            <v>11305</v>
          </cell>
          <cell r="Q10" t="str">
            <v>Piutang DAK</v>
          </cell>
        </row>
        <row r="11">
          <cell r="P11">
            <v>11401</v>
          </cell>
          <cell r="Q11" t="str">
            <v>Bagian Lancar Tagihan Penjualan Angsuran</v>
          </cell>
        </row>
        <row r="12">
          <cell r="P12">
            <v>11402</v>
          </cell>
          <cell r="Q12" t="str">
            <v>Bagian Lancar Tuntutan Ganti Kerugian Daerah</v>
          </cell>
        </row>
        <row r="13">
          <cell r="P13">
            <v>11405</v>
          </cell>
          <cell r="Q13" t="str">
            <v>Bagian Lancar Pinjaman Kepada BUMD</v>
          </cell>
        </row>
        <row r="14">
          <cell r="P14">
            <v>11407</v>
          </cell>
          <cell r="Q14" t="str">
            <v>Piutang Lain-Lain</v>
          </cell>
        </row>
        <row r="15">
          <cell r="P15">
            <v>11501</v>
          </cell>
          <cell r="Q15" t="str">
            <v>Persediaan</v>
          </cell>
        </row>
        <row r="16">
          <cell r="P16">
            <v>12101</v>
          </cell>
          <cell r="Q16" t="str">
            <v>Pinjaman Kepada Perusahaan Negara</v>
          </cell>
        </row>
        <row r="17">
          <cell r="P17">
            <v>12102</v>
          </cell>
          <cell r="Q17" t="str">
            <v>Pinjaman Kepada Perusahaan Daerah</v>
          </cell>
        </row>
        <row r="18">
          <cell r="P18">
            <v>12103</v>
          </cell>
          <cell r="Q18" t="str">
            <v>Pinjaman Kepada Pemerintah Daerah Lainnya</v>
          </cell>
        </row>
        <row r="19">
          <cell r="P19">
            <v>12104</v>
          </cell>
          <cell r="Q19" t="str">
            <v>Investasi Dalam Surat Utang Negara</v>
          </cell>
        </row>
        <row r="20">
          <cell r="P20">
            <v>12105</v>
          </cell>
          <cell r="Q20" t="str">
            <v>Investasi Non Permanen Lainnya</v>
          </cell>
        </row>
        <row r="21">
          <cell r="P21">
            <v>12106</v>
          </cell>
          <cell r="Q21" t="str">
            <v>Investasi Dana Bergulir</v>
          </cell>
        </row>
        <row r="22">
          <cell r="P22">
            <v>12201</v>
          </cell>
          <cell r="Q22" t="str">
            <v>Penyertaan Modal Pemerintah Daerah</v>
          </cell>
        </row>
        <row r="23">
          <cell r="P23">
            <v>12202</v>
          </cell>
          <cell r="Q23" t="str">
            <v>Penyertaan Modal Dalam Proyek Pembangunan</v>
          </cell>
        </row>
        <row r="24">
          <cell r="P24">
            <v>12203</v>
          </cell>
          <cell r="Q24" t="str">
            <v>Penyertaan Modal Perusahaan Patungan</v>
          </cell>
        </row>
        <row r="25">
          <cell r="P25">
            <v>12204</v>
          </cell>
          <cell r="Q25" t="str">
            <v>Investasi Permanen Lainnya</v>
          </cell>
        </row>
        <row r="26">
          <cell r="P26">
            <v>13101</v>
          </cell>
          <cell r="Q26" t="str">
            <v>Tanah</v>
          </cell>
        </row>
        <row r="27">
          <cell r="P27">
            <v>13201</v>
          </cell>
          <cell r="Q27" t="str">
            <v>Alat-Alat Berat</v>
          </cell>
        </row>
        <row r="28">
          <cell r="P28">
            <v>13202</v>
          </cell>
          <cell r="Q28" t="str">
            <v>Alat-Alat Angkutan</v>
          </cell>
        </row>
        <row r="29">
          <cell r="P29">
            <v>13207</v>
          </cell>
          <cell r="Q29" t="str">
            <v>Alat Bengkel</v>
          </cell>
        </row>
        <row r="30">
          <cell r="P30">
            <v>13208</v>
          </cell>
          <cell r="Q30" t="str">
            <v>Alat Pertanian dan Peternakan</v>
          </cell>
        </row>
        <row r="31">
          <cell r="P31">
            <v>13209</v>
          </cell>
          <cell r="Q31" t="str">
            <v>Alat Kantor dan Rumah Tangga</v>
          </cell>
        </row>
        <row r="32">
          <cell r="P32">
            <v>13215</v>
          </cell>
          <cell r="Q32" t="str">
            <v>Alat Studio dan Komunikasi</v>
          </cell>
        </row>
        <row r="33">
          <cell r="P33">
            <v>13217</v>
          </cell>
          <cell r="Q33" t="str">
            <v>Alat Ukur</v>
          </cell>
        </row>
        <row r="34">
          <cell r="P34">
            <v>13218</v>
          </cell>
          <cell r="Q34" t="str">
            <v>Alat-Alat Kedokteran</v>
          </cell>
        </row>
        <row r="35">
          <cell r="P35">
            <v>13219</v>
          </cell>
          <cell r="Q35" t="str">
            <v>Alat Laboratorium</v>
          </cell>
        </row>
        <row r="36">
          <cell r="P36">
            <v>13220</v>
          </cell>
          <cell r="Q36" t="str">
            <v>Alat Keamanan</v>
          </cell>
        </row>
        <row r="37">
          <cell r="P37">
            <v>13301</v>
          </cell>
          <cell r="Q37" t="str">
            <v>Bangunan Gedung</v>
          </cell>
        </row>
        <row r="38">
          <cell r="P38">
            <v>13306</v>
          </cell>
          <cell r="Q38" t="str">
            <v>Bangunan Monumen</v>
          </cell>
        </row>
        <row r="39">
          <cell r="P39">
            <v>13401</v>
          </cell>
          <cell r="Q39" t="str">
            <v>Jalan dan Jembatan</v>
          </cell>
        </row>
        <row r="40">
          <cell r="P40">
            <v>13403</v>
          </cell>
          <cell r="Q40" t="str">
            <v>Bangunan Air (Irigasi)</v>
          </cell>
        </row>
        <row r="41">
          <cell r="P41">
            <v>13405</v>
          </cell>
          <cell r="Q41" t="str">
            <v>Instalasi</v>
          </cell>
        </row>
        <row r="42">
          <cell r="P42">
            <v>13406</v>
          </cell>
          <cell r="Q42" t="str">
            <v>Jaringan</v>
          </cell>
        </row>
        <row r="43">
          <cell r="P43">
            <v>13501</v>
          </cell>
          <cell r="Q43" t="str">
            <v>Buku dan Perpustakaan</v>
          </cell>
        </row>
        <row r="44">
          <cell r="P44">
            <v>13502</v>
          </cell>
          <cell r="Q44" t="str">
            <v>Barang Bercorak Kesenian/Kebudayaan</v>
          </cell>
        </row>
        <row r="45">
          <cell r="P45">
            <v>13503</v>
          </cell>
          <cell r="Q45" t="str">
            <v>Hewan/Ternak dan Tumbuhan</v>
          </cell>
        </row>
        <row r="46">
          <cell r="P46">
            <v>13504</v>
          </cell>
          <cell r="Q46" t="str">
            <v>Rambu/Plang Petunjuk</v>
          </cell>
        </row>
        <row r="47">
          <cell r="P47">
            <v>13601</v>
          </cell>
          <cell r="Q47" t="str">
            <v>Konstruksi Dalam Pengerjaan</v>
          </cell>
        </row>
        <row r="48">
          <cell r="P48">
            <v>13701</v>
          </cell>
          <cell r="Q48" t="str">
            <v>Akumulasi Penyusutan Aset Tetap</v>
          </cell>
        </row>
        <row r="49">
          <cell r="P49">
            <v>14101</v>
          </cell>
          <cell r="Q49" t="str">
            <v>Dana Cadangan</v>
          </cell>
        </row>
        <row r="50">
          <cell r="P50">
            <v>15101</v>
          </cell>
          <cell r="Q50" t="str">
            <v>Tagihan Penjualan Angsuran</v>
          </cell>
        </row>
        <row r="51">
          <cell r="P51">
            <v>15201</v>
          </cell>
          <cell r="Q51" t="str">
            <v>Tagihan Tuntutan Ganti Kerugian Daerah</v>
          </cell>
        </row>
        <row r="52">
          <cell r="P52">
            <v>15301</v>
          </cell>
          <cell r="Q52" t="str">
            <v>Kemitraan Dengan Pihak Ketiga</v>
          </cell>
        </row>
        <row r="53">
          <cell r="P53">
            <v>15401</v>
          </cell>
          <cell r="Q53" t="str">
            <v>Aset Tak Berwujud</v>
          </cell>
        </row>
        <row r="54">
          <cell r="P54">
            <v>15501</v>
          </cell>
          <cell r="Q54" t="str">
            <v>Aset Lain-Lain</v>
          </cell>
        </row>
        <row r="55">
          <cell r="P55">
            <v>16101</v>
          </cell>
          <cell r="Q55" t="str">
            <v>RK SKPD</v>
          </cell>
        </row>
        <row r="56">
          <cell r="P56">
            <v>21101</v>
          </cell>
          <cell r="Q56" t="str">
            <v>Utang Perhitungan Pihak Ketiga</v>
          </cell>
        </row>
        <row r="57">
          <cell r="P57">
            <v>21201</v>
          </cell>
          <cell r="Q57" t="str">
            <v>Utang Bunga</v>
          </cell>
        </row>
        <row r="58">
          <cell r="P58">
            <v>21301</v>
          </cell>
          <cell r="Q58" t="str">
            <v>Utang Pajak</v>
          </cell>
        </row>
        <row r="59">
          <cell r="P59">
            <v>21401</v>
          </cell>
          <cell r="Q59" t="str">
            <v>Bagian Lancar Utang Jangka Panjang Dalam Negeri</v>
          </cell>
        </row>
        <row r="60">
          <cell r="P60">
            <v>21501</v>
          </cell>
          <cell r="Q60" t="str">
            <v>Pendapatan Diterima Dimuka</v>
          </cell>
        </row>
        <row r="61">
          <cell r="P61">
            <v>21601</v>
          </cell>
          <cell r="Q61" t="str">
            <v>Utang Jangka Pendek Lainnya</v>
          </cell>
        </row>
        <row r="62">
          <cell r="P62">
            <v>22101</v>
          </cell>
          <cell r="Q62" t="str">
            <v>Utang Dalam Negeri</v>
          </cell>
        </row>
        <row r="63">
          <cell r="P63">
            <v>22201</v>
          </cell>
          <cell r="Q63" t="str">
            <v>Utang Luar Negeri</v>
          </cell>
        </row>
        <row r="64">
          <cell r="P64">
            <v>22301</v>
          </cell>
          <cell r="Q64" t="str">
            <v>Utang Jangka Panjang Lainnya</v>
          </cell>
        </row>
        <row r="65">
          <cell r="P65">
            <v>31101</v>
          </cell>
          <cell r="Q65" t="str">
            <v>Sisa Lebih Perhitungan Anggaran (SILPA)</v>
          </cell>
        </row>
        <row r="66">
          <cell r="P66">
            <v>31201</v>
          </cell>
          <cell r="Q66" t="str">
            <v>Cadangan Piutang</v>
          </cell>
        </row>
        <row r="67">
          <cell r="P67">
            <v>31301</v>
          </cell>
          <cell r="Q67" t="str">
            <v>Cadangan Persediaan</v>
          </cell>
        </row>
        <row r="68">
          <cell r="P68">
            <v>31401</v>
          </cell>
          <cell r="Q68" t="str">
            <v>Dana Yang Harus Disediakan Untuk Pembayaran Utang Jangka Pendek</v>
          </cell>
        </row>
        <row r="69">
          <cell r="P69">
            <v>31501</v>
          </cell>
          <cell r="Q69" t="str">
            <v>Pendapatan Yang Ditangguhkan</v>
          </cell>
        </row>
        <row r="70">
          <cell r="P70">
            <v>32101</v>
          </cell>
          <cell r="Q70" t="str">
            <v>Diinvestasikan Dalam Investasi Jangka Panjang</v>
          </cell>
        </row>
        <row r="71">
          <cell r="P71">
            <v>32201</v>
          </cell>
          <cell r="Q71" t="str">
            <v>Diinvestasikan Dalam Aset Tetap</v>
          </cell>
        </row>
        <row r="72">
          <cell r="P72">
            <v>32301</v>
          </cell>
          <cell r="Q72" t="str">
            <v>Diinvestasikan Dalam Aset Lainnya</v>
          </cell>
        </row>
        <row r="73">
          <cell r="P73">
            <v>32401</v>
          </cell>
          <cell r="Q73" t="str">
            <v>Dana Yang Harus Disediakan Untuk Pembayaran Utang Jangka Panjang</v>
          </cell>
        </row>
        <row r="74">
          <cell r="P74">
            <v>33101</v>
          </cell>
          <cell r="Q74" t="str">
            <v>Diinvestasikan dalam Dana Cadangan</v>
          </cell>
        </row>
        <row r="75">
          <cell r="P75">
            <v>34101</v>
          </cell>
          <cell r="Q75" t="str">
            <v>RK PPKD</v>
          </cell>
        </row>
        <row r="76">
          <cell r="P76">
            <v>41101</v>
          </cell>
          <cell r="Q76" t="str">
            <v>Pajak Kendaraan Bermotor</v>
          </cell>
        </row>
        <row r="77">
          <cell r="P77">
            <v>41102</v>
          </cell>
          <cell r="Q77" t="str">
            <v>Pajak Kendaraan Di Atas Air</v>
          </cell>
        </row>
        <row r="78">
          <cell r="P78">
            <v>41103</v>
          </cell>
          <cell r="Q78" t="str">
            <v>Bea Balik Nama Kendaraan Bermotor</v>
          </cell>
        </row>
        <row r="79">
          <cell r="P79">
            <v>41104</v>
          </cell>
          <cell r="Q79" t="str">
            <v>Bea Balik Nama Kendaraan Di Atas Air</v>
          </cell>
        </row>
        <row r="80">
          <cell r="P80">
            <v>41105</v>
          </cell>
          <cell r="Q80" t="str">
            <v>Pajak Bahan Bakar Kendaraan Bermotor</v>
          </cell>
        </row>
        <row r="81">
          <cell r="P81">
            <v>41106</v>
          </cell>
          <cell r="Q81" t="str">
            <v>Pajak Air Permukaan</v>
          </cell>
        </row>
        <row r="82">
          <cell r="P82">
            <v>41201</v>
          </cell>
          <cell r="Q82" t="str">
            <v>Retribusi Jasa Umum</v>
          </cell>
        </row>
        <row r="83">
          <cell r="P83">
            <v>41202</v>
          </cell>
          <cell r="Q83" t="str">
            <v>Retribusi Jasa Usaha</v>
          </cell>
        </row>
        <row r="84">
          <cell r="P84">
            <v>41203</v>
          </cell>
          <cell r="Q84" t="str">
            <v>Retribusi Perizinan Tertentu</v>
          </cell>
        </row>
        <row r="85">
          <cell r="P85">
            <v>41301</v>
          </cell>
          <cell r="Q85" t="str">
            <v>Bagian Laba Atas Penyertaan Modal Pada Perusahaan Milik Daerah/BUMD</v>
          </cell>
        </row>
        <row r="86">
          <cell r="P86">
            <v>41302</v>
          </cell>
          <cell r="Q86" t="str">
            <v>Bagian Laba Atas Penyertaan Modal Pada Perusahaan Milik Pemerintah/BUMN</v>
          </cell>
        </row>
        <row r="87">
          <cell r="P87">
            <v>41303</v>
          </cell>
          <cell r="Q87" t="str">
            <v>Bagian Laba Atas Penyertaan Modal Pada Perusahaan Patungan/Swasta</v>
          </cell>
        </row>
        <row r="88">
          <cell r="P88">
            <v>41401</v>
          </cell>
          <cell r="Q88" t="str">
            <v>Hasil Penjualan Aset Daerah Yang Tidak Dipisahkan</v>
          </cell>
        </row>
        <row r="89">
          <cell r="P89">
            <v>41402</v>
          </cell>
          <cell r="Q89" t="str">
            <v>Jasa Giro</v>
          </cell>
        </row>
        <row r="90">
          <cell r="P90">
            <v>41403</v>
          </cell>
          <cell r="Q90" t="str">
            <v>Pendapatan Bunga</v>
          </cell>
        </row>
        <row r="91">
          <cell r="P91">
            <v>41404</v>
          </cell>
          <cell r="Q91" t="str">
            <v>Tuntutan Ganti Rugi (TGR)</v>
          </cell>
        </row>
        <row r="92">
          <cell r="P92">
            <v>41406</v>
          </cell>
          <cell r="Q92" t="str">
            <v>Pendapatan Denda Atas Keterlambatan Pelaksanaan Pekerjaan</v>
          </cell>
        </row>
        <row r="93">
          <cell r="P93">
            <v>41407</v>
          </cell>
          <cell r="Q93" t="str">
            <v>Pendapatan Denda Pajak</v>
          </cell>
        </row>
        <row r="94">
          <cell r="P94">
            <v>41408</v>
          </cell>
          <cell r="Q94" t="str">
            <v>Pendapatan Denda Retribusi</v>
          </cell>
        </row>
        <row r="95">
          <cell r="P95">
            <v>41410</v>
          </cell>
          <cell r="Q95" t="str">
            <v>Pendapatan dari Pengembalian</v>
          </cell>
        </row>
        <row r="96">
          <cell r="P96">
            <v>41411</v>
          </cell>
          <cell r="Q96" t="str">
            <v xml:space="preserve">Fasilitasi Sosial </v>
          </cell>
        </row>
        <row r="97">
          <cell r="P97">
            <v>41412</v>
          </cell>
          <cell r="Q97" t="str">
            <v>Pendapatan dari Penyelenggaraan Pendidikan dan Pelatihan</v>
          </cell>
        </row>
        <row r="98">
          <cell r="P98">
            <v>41413</v>
          </cell>
          <cell r="Q98" t="str">
            <v>Pendapatan dari Angsuran/Cicilan Penjualan</v>
          </cell>
        </row>
        <row r="99">
          <cell r="P99">
            <v>42101</v>
          </cell>
          <cell r="Q99" t="str">
            <v>Bagi Hasil Pajak</v>
          </cell>
        </row>
        <row r="100">
          <cell r="P100">
            <v>42102</v>
          </cell>
          <cell r="Q100" t="str">
            <v>Bagi Hasil Bukan Pajak/SDA</v>
          </cell>
        </row>
        <row r="101">
          <cell r="P101">
            <v>42201</v>
          </cell>
          <cell r="Q101" t="str">
            <v>DAU</v>
          </cell>
        </row>
        <row r="102">
          <cell r="P102">
            <v>42301</v>
          </cell>
          <cell r="Q102" t="str">
            <v>DAK</v>
          </cell>
        </row>
        <row r="103">
          <cell r="P103">
            <v>43201</v>
          </cell>
          <cell r="Q103" t="str">
            <v>Penanggulangan Korban/Kerusakan Akibat Bencana Alam</v>
          </cell>
        </row>
        <row r="104">
          <cell r="P104">
            <v>43301</v>
          </cell>
          <cell r="Q104" t="str">
            <v>Dana Bagi Hasil Pajak dari Provinsi</v>
          </cell>
        </row>
        <row r="105">
          <cell r="P105">
            <v>43302</v>
          </cell>
          <cell r="Q105" t="str">
            <v>Dana Bagi Hasil Pajak dari Kabupaten</v>
          </cell>
        </row>
        <row r="106">
          <cell r="P106">
            <v>43303</v>
          </cell>
          <cell r="Q106" t="str">
            <v>Dana Bagi Hasil Pajak dari Kota</v>
          </cell>
        </row>
        <row r="107">
          <cell r="P107">
            <v>43401</v>
          </cell>
          <cell r="Q107" t="str">
            <v>Dana Penyesuaian</v>
          </cell>
        </row>
        <row r="108">
          <cell r="P108">
            <v>43402</v>
          </cell>
          <cell r="Q108" t="str">
            <v>Dana Otonomi Khusus</v>
          </cell>
        </row>
        <row r="109">
          <cell r="P109">
            <v>43501</v>
          </cell>
          <cell r="Q109" t="str">
            <v>Bantuan Keuangan dari Provinsi</v>
          </cell>
        </row>
        <row r="110">
          <cell r="P110">
            <v>43502</v>
          </cell>
          <cell r="Q110" t="str">
            <v>Bantuan Keuangan dari Kabupaten</v>
          </cell>
        </row>
        <row r="111">
          <cell r="P111">
            <v>43503</v>
          </cell>
          <cell r="Q111" t="str">
            <v>Bantuan Keuangan dari Kota</v>
          </cell>
        </row>
        <row r="112">
          <cell r="P112">
            <v>51101</v>
          </cell>
          <cell r="Q112" t="str">
            <v>Gaji dan Tunjangan</v>
          </cell>
        </row>
        <row r="113">
          <cell r="P113">
            <v>51102</v>
          </cell>
          <cell r="Q113" t="str">
            <v>Tambahan penghasilan PNS</v>
          </cell>
        </row>
        <row r="114">
          <cell r="P114">
            <v>51103</v>
          </cell>
          <cell r="Q114" t="str">
            <v>Belanja Penerimaan Lainnya Pimpinan dan Anggota DPRD serta KDH/WKDH</v>
          </cell>
        </row>
        <row r="115">
          <cell r="P115">
            <v>51104</v>
          </cell>
          <cell r="Q115" t="str">
            <v>Biaya Pemungutan Pajak Daerah</v>
          </cell>
        </row>
        <row r="116">
          <cell r="P116">
            <v>51201</v>
          </cell>
          <cell r="Q116" t="str">
            <v>Bunga utang pinjaman</v>
          </cell>
        </row>
        <row r="117">
          <cell r="P117">
            <v>51202</v>
          </cell>
          <cell r="Q117" t="str">
            <v>Bunga utang obligasi</v>
          </cell>
        </row>
        <row r="118">
          <cell r="P118">
            <v>51301</v>
          </cell>
          <cell r="Q118" t="str">
            <v>Bunga Subsidi kepada Perusahaan/Lembaga</v>
          </cell>
        </row>
        <row r="119">
          <cell r="P119">
            <v>51401</v>
          </cell>
          <cell r="Q119" t="str">
            <v>Belanja Hibah kepada Pemerintah Pusat</v>
          </cell>
        </row>
        <row r="120">
          <cell r="P120">
            <v>51402</v>
          </cell>
          <cell r="Q120" t="str">
            <v>Belanja Hibah kepada Pemerintah Daerah Lainnya</v>
          </cell>
        </row>
        <row r="121">
          <cell r="P121">
            <v>51403</v>
          </cell>
          <cell r="Q121" t="str">
            <v>Belanja Hibah kepada Pemerintah Desa</v>
          </cell>
        </row>
        <row r="122">
          <cell r="P122">
            <v>51404</v>
          </cell>
          <cell r="Q122" t="str">
            <v>Belanja Hibah kepada Perusahaan Daerah/BUMD/BUMN</v>
          </cell>
        </row>
        <row r="123">
          <cell r="P123">
            <v>51405</v>
          </cell>
          <cell r="Q123" t="str">
            <v>Belanja Hibah kepada Badan/Lembaga/Organisasi</v>
          </cell>
        </row>
        <row r="124">
          <cell r="P124">
            <v>51406</v>
          </cell>
          <cell r="Q124" t="str">
            <v>Belanja Hibah kepada Kelompok/Anggota Masyarakat</v>
          </cell>
        </row>
        <row r="125">
          <cell r="P125">
            <v>51501</v>
          </cell>
          <cell r="Q125" t="str">
            <v>Belanja Bantuan Sosial kepada Organisasi Sosial Kemasyarakatan</v>
          </cell>
        </row>
        <row r="126">
          <cell r="P126">
            <v>51502</v>
          </cell>
          <cell r="Q126" t="str">
            <v>Belanja Bantuan Sosial kepada Kelompok Masyarakat</v>
          </cell>
        </row>
        <row r="127">
          <cell r="P127">
            <v>51503</v>
          </cell>
          <cell r="Q127" t="str">
            <v>Belanja Bantuan Sosial kepada Anggota Masyarakat</v>
          </cell>
        </row>
        <row r="128">
          <cell r="P128">
            <v>51504</v>
          </cell>
          <cell r="Q128" t="str">
            <v>Belanja Bantuan Partai Politik</v>
          </cell>
        </row>
        <row r="129">
          <cell r="P129">
            <v>51601</v>
          </cell>
          <cell r="Q129" t="str">
            <v>Belanja Bagi Hasil Pajak Daerah kepada Provinsi</v>
          </cell>
        </row>
        <row r="130">
          <cell r="P130">
            <v>51602</v>
          </cell>
          <cell r="Q130" t="str">
            <v>Belanja Bagi Hasil Pajak Daerah kepada Kabupaten/Kota</v>
          </cell>
        </row>
        <row r="131">
          <cell r="P131">
            <v>51603</v>
          </cell>
          <cell r="Q131" t="str">
            <v>Belanja Bagi Hasil Pajak Daerah kepada Pemerintah Desa</v>
          </cell>
        </row>
        <row r="132">
          <cell r="P132">
            <v>51604</v>
          </cell>
          <cell r="Q132" t="str">
            <v>Belanja Bagi Hasil Retribusi Daerah kepada Kabupaten/Kota</v>
          </cell>
        </row>
        <row r="133">
          <cell r="P133">
            <v>51605</v>
          </cell>
          <cell r="Q133" t="str">
            <v>Belanja Bagi Hasil Retribusi Daerah kepada Pemerintah Desa</v>
          </cell>
        </row>
        <row r="134">
          <cell r="P134">
            <v>51701</v>
          </cell>
          <cell r="Q134" t="str">
            <v>Belanja Bantuan Keuangan Kepada Provinsi</v>
          </cell>
        </row>
        <row r="135">
          <cell r="P135">
            <v>51702</v>
          </cell>
          <cell r="Q135" t="str">
            <v>Belanja Bantuan Keuangan Kepada Kabupaten/Kota</v>
          </cell>
        </row>
        <row r="136">
          <cell r="P136">
            <v>51703</v>
          </cell>
          <cell r="Q136" t="str">
            <v>Belanja Bantuan Keuangan Kepada Desa</v>
          </cell>
        </row>
        <row r="137">
          <cell r="P137">
            <v>51704</v>
          </cell>
          <cell r="Q137" t="str">
            <v>Belanja Bantuan Keuangan kepada Pemerintah Daerah/Pemerintah Desa Lainnya</v>
          </cell>
        </row>
        <row r="138">
          <cell r="P138">
            <v>51801</v>
          </cell>
          <cell r="Q138" t="str">
            <v>Belanja Tidak Terduga</v>
          </cell>
        </row>
        <row r="139">
          <cell r="P139">
            <v>52101</v>
          </cell>
          <cell r="Q139" t="str">
            <v>Honorarium PNS</v>
          </cell>
        </row>
        <row r="140">
          <cell r="P140">
            <v>52102</v>
          </cell>
          <cell r="Q140" t="str">
            <v>Honorarium Non PNS</v>
          </cell>
        </row>
        <row r="141">
          <cell r="P141">
            <v>52103</v>
          </cell>
          <cell r="Q141" t="str">
            <v>Uang lembur</v>
          </cell>
        </row>
        <row r="142">
          <cell r="P142">
            <v>52201</v>
          </cell>
          <cell r="Q142" t="str">
            <v>Belanja Bahan Pakai Habis</v>
          </cell>
        </row>
        <row r="143">
          <cell r="P143">
            <v>52202</v>
          </cell>
          <cell r="Q143" t="str">
            <v>Belanja Bahan/Material</v>
          </cell>
        </row>
        <row r="144">
          <cell r="P144">
            <v>52203</v>
          </cell>
          <cell r="Q144" t="str">
            <v>Belanja Jasa kantor</v>
          </cell>
        </row>
        <row r="145">
          <cell r="P145">
            <v>52204</v>
          </cell>
          <cell r="Q145" t="str">
            <v>Belanja Premi Asuransi</v>
          </cell>
        </row>
        <row r="146">
          <cell r="P146">
            <v>52205</v>
          </cell>
          <cell r="Q146" t="str">
            <v>Belanja Perawatan Kendaraan Bermotor</v>
          </cell>
        </row>
        <row r="147">
          <cell r="P147">
            <v>52206</v>
          </cell>
          <cell r="Q147" t="str">
            <v>Belanja Cetak dan Penggandaan</v>
          </cell>
        </row>
        <row r="148">
          <cell r="P148">
            <v>52207</v>
          </cell>
          <cell r="Q148" t="str">
            <v>Belanja Sewa Rumah/Gedung/Gudang/Parkir</v>
          </cell>
        </row>
        <row r="149">
          <cell r="P149">
            <v>52208</v>
          </cell>
          <cell r="Q149" t="str">
            <v>Belanja Sewa Sarana Mobilitas</v>
          </cell>
        </row>
        <row r="150">
          <cell r="P150">
            <v>52209</v>
          </cell>
          <cell r="Q150" t="str">
            <v>Belanja Sewa Alat Berat</v>
          </cell>
        </row>
        <row r="151">
          <cell r="P151">
            <v>52210</v>
          </cell>
          <cell r="Q151" t="str">
            <v>Belanja Sewa Perlengkapan dan Peralatan kantor</v>
          </cell>
        </row>
        <row r="152">
          <cell r="P152">
            <v>52211</v>
          </cell>
          <cell r="Q152" t="str">
            <v>Belanja makanan dan minuman</v>
          </cell>
        </row>
        <row r="153">
          <cell r="P153">
            <v>52212</v>
          </cell>
          <cell r="Q153" t="str">
            <v>Belanja pakaian dinas dan atribut</v>
          </cell>
        </row>
        <row r="154">
          <cell r="P154">
            <v>52213</v>
          </cell>
          <cell r="Q154" t="str">
            <v>Belanja pakaian kerja</v>
          </cell>
        </row>
        <row r="155">
          <cell r="P155">
            <v>52214</v>
          </cell>
          <cell r="Q155" t="str">
            <v>Belanja pakaian khusus dan hari-hari tertentu</v>
          </cell>
        </row>
        <row r="156">
          <cell r="P156">
            <v>52215</v>
          </cell>
          <cell r="Q156" t="str">
            <v>Belanja perjalanan dinas</v>
          </cell>
        </row>
        <row r="157">
          <cell r="P157">
            <v>52216</v>
          </cell>
          <cell r="Q157" t="str">
            <v>Belanja beasiswa pendidikan PNS</v>
          </cell>
        </row>
        <row r="158">
          <cell r="P158">
            <v>52217</v>
          </cell>
          <cell r="Q158" t="str">
            <v>Belanja kursus, pelatihan, sosialisasi dan bimbingan teknis PNS</v>
          </cell>
        </row>
        <row r="159">
          <cell r="P159">
            <v>52218</v>
          </cell>
          <cell r="Q159" t="str">
            <v>Belanja perjalanan pindah tugas</v>
          </cell>
        </row>
        <row r="160">
          <cell r="P160">
            <v>52219</v>
          </cell>
          <cell r="Q160" t="str">
            <v>Belanja pemulangan pegawai</v>
          </cell>
        </row>
        <row r="161">
          <cell r="P161">
            <v>52220</v>
          </cell>
          <cell r="Q161" t="str">
            <v>Belanja pemeliharaan</v>
          </cell>
        </row>
        <row r="162">
          <cell r="P162">
            <v>52221</v>
          </cell>
          <cell r="Q162" t="str">
            <v>Belanja jasa konsultasi</v>
          </cell>
        </row>
        <row r="163">
          <cell r="P163">
            <v>52222</v>
          </cell>
          <cell r="Q163" t="str">
            <v>Belanja jasa publikasi</v>
          </cell>
        </row>
        <row r="164">
          <cell r="P164">
            <v>52301</v>
          </cell>
          <cell r="Q164" t="str">
            <v>Belanja modal pengadaan tanah</v>
          </cell>
        </row>
        <row r="165">
          <cell r="P165">
            <v>52302</v>
          </cell>
          <cell r="Q165" t="str">
            <v>Belanja modal pengadaan alat-alat berat</v>
          </cell>
        </row>
        <row r="166">
          <cell r="P166">
            <v>52303</v>
          </cell>
          <cell r="Q166" t="str">
            <v>Belanja modal pengadaan alat-alat angkutan darat bermotor</v>
          </cell>
        </row>
        <row r="167">
          <cell r="P167">
            <v>52304</v>
          </cell>
          <cell r="Q167" t="str">
            <v>Belanja modal pengadaan alat-alat angkutan darat tidak bermotor</v>
          </cell>
        </row>
        <row r="168">
          <cell r="P168">
            <v>52305</v>
          </cell>
          <cell r="Q168" t="str">
            <v>Belanja modal pengadaan alat-alat angkutan di air bermotor</v>
          </cell>
        </row>
        <row r="169">
          <cell r="P169">
            <v>52306</v>
          </cell>
          <cell r="Q169" t="str">
            <v>Belanja modal pengadaan alat-alat angkutan di air tidak bermotor</v>
          </cell>
        </row>
        <row r="170">
          <cell r="P170">
            <v>52308</v>
          </cell>
          <cell r="Q170" t="str">
            <v>Belanja modal pengadaan alat-alat bengkel</v>
          </cell>
        </row>
        <row r="171">
          <cell r="P171">
            <v>52309</v>
          </cell>
          <cell r="Q171" t="str">
            <v>Belanja modal pengadaan alat-alat pengolahan pertanian dan peternakan</v>
          </cell>
        </row>
        <row r="172">
          <cell r="P172">
            <v>52310</v>
          </cell>
          <cell r="Q172" t="str">
            <v>Belanja modal pengadaan peralatan kantor</v>
          </cell>
        </row>
        <row r="173">
          <cell r="P173">
            <v>52311</v>
          </cell>
          <cell r="Q173" t="str">
            <v>Belanja modal pengadaan perlengkapan kantor</v>
          </cell>
        </row>
        <row r="174">
          <cell r="P174">
            <v>52312</v>
          </cell>
          <cell r="Q174" t="str">
            <v>Belanja modal pengadaan komputer</v>
          </cell>
        </row>
        <row r="175">
          <cell r="P175">
            <v>52313</v>
          </cell>
          <cell r="Q175" t="str">
            <v>Belanja modal pengadaan meubelair</v>
          </cell>
        </row>
        <row r="176">
          <cell r="P176">
            <v>52314</v>
          </cell>
          <cell r="Q176" t="str">
            <v>Belanja modal pengadaan peralatan dapur</v>
          </cell>
        </row>
        <row r="177">
          <cell r="P177">
            <v>52315</v>
          </cell>
          <cell r="Q177" t="str">
            <v>Belanja modal pengadaan penghias ruangan rumah tangga</v>
          </cell>
        </row>
        <row r="178">
          <cell r="P178">
            <v>52316</v>
          </cell>
          <cell r="Q178" t="str">
            <v>Belanja modal pengadaan alat-alat studio</v>
          </cell>
        </row>
        <row r="179">
          <cell r="P179">
            <v>52317</v>
          </cell>
          <cell r="Q179" t="str">
            <v>Belanja modal pengadaan alat-alat komunikasi</v>
          </cell>
        </row>
        <row r="180">
          <cell r="P180">
            <v>52318</v>
          </cell>
          <cell r="Q180" t="str">
            <v>Belanja modal pengadaan alat-alat ukur</v>
          </cell>
        </row>
        <row r="181">
          <cell r="P181">
            <v>52319</v>
          </cell>
          <cell r="Q181" t="str">
            <v>Belanja modal pengadaan alat-alat kedokteran</v>
          </cell>
        </row>
        <row r="182">
          <cell r="P182">
            <v>52320</v>
          </cell>
          <cell r="Q182" t="str">
            <v>Belanja modal pengadaan alat-alat laboratorium</v>
          </cell>
        </row>
        <row r="183">
          <cell r="P183">
            <v>52321</v>
          </cell>
          <cell r="Q183" t="str">
            <v>Belanja modal pengadaan konstruksi jalan</v>
          </cell>
        </row>
        <row r="184">
          <cell r="P184">
            <v>52322</v>
          </cell>
          <cell r="Q184" t="str">
            <v>Belanja modal pengadaan konstruksi jembatan</v>
          </cell>
        </row>
        <row r="185">
          <cell r="P185">
            <v>52323</v>
          </cell>
          <cell r="Q185" t="str">
            <v>Belanja modal pengadaan konstruksi jaringan air</v>
          </cell>
        </row>
        <row r="186">
          <cell r="P186">
            <v>52324</v>
          </cell>
          <cell r="Q186" t="str">
            <v>Belanja modal pengadaan penerangan jalan, taman dan hutan</v>
          </cell>
        </row>
        <row r="187">
          <cell r="P187">
            <v>52325</v>
          </cell>
          <cell r="Q187" t="str">
            <v>Belanja modal pengadaan instalasi listrik dan telepon</v>
          </cell>
        </row>
        <row r="188">
          <cell r="P188">
            <v>52326</v>
          </cell>
          <cell r="Q188" t="str">
            <v>Belanja modal pengadaan konstruksi/pembelian bangunan</v>
          </cell>
        </row>
        <row r="189">
          <cell r="P189">
            <v>52327</v>
          </cell>
          <cell r="Q189" t="str">
            <v>Belanja modal pengadaan buku/perpustakaan</v>
          </cell>
        </row>
        <row r="190">
          <cell r="P190">
            <v>52328</v>
          </cell>
          <cell r="Q190" t="str">
            <v>Belanja modal pengadaan barang bercorak kesenian, kebudayaan</v>
          </cell>
        </row>
        <row r="191">
          <cell r="P191">
            <v>52329</v>
          </cell>
          <cell r="Q191" t="str">
            <v>Belanja modal pengadaan hewan/ternak dan tanaman</v>
          </cell>
        </row>
        <row r="192">
          <cell r="P192">
            <v>52330</v>
          </cell>
          <cell r="Q192" t="str">
            <v>Belanja modal pengadaan alat persenjataan/keamanan</v>
          </cell>
        </row>
        <row r="193">
          <cell r="P193">
            <v>52331</v>
          </cell>
          <cell r="Q193" t="str">
            <v>Belanja modal pengadaan konstruksi bangunan</v>
          </cell>
        </row>
        <row r="194">
          <cell r="P194">
            <v>52332</v>
          </cell>
          <cell r="Q194" t="str">
            <v>Belanja modal pengadaan rambu/plang petunjuk</v>
          </cell>
        </row>
        <row r="195">
          <cell r="P195">
            <v>52333</v>
          </cell>
          <cell r="Q195" t="str">
            <v>Belanja modal reklamasi</v>
          </cell>
        </row>
        <row r="196">
          <cell r="P196">
            <v>61101</v>
          </cell>
          <cell r="Q196" t="str">
            <v>Sisa Lebih Perhitungan Anggaran (SILPA) Tahun Anggaran Sebelumnya</v>
          </cell>
        </row>
        <row r="197">
          <cell r="P197">
            <v>61201</v>
          </cell>
          <cell r="Q197" t="str">
            <v xml:space="preserve"> Pencairan Dana Cadangan</v>
          </cell>
        </row>
        <row r="198">
          <cell r="P198">
            <v>61301</v>
          </cell>
          <cell r="Q198" t="str">
            <v>Hasil Penjualan Kekayaan Daerah Yang Dipisahkan</v>
          </cell>
        </row>
        <row r="199">
          <cell r="P199">
            <v>61401</v>
          </cell>
          <cell r="Q199" t="str">
            <v xml:space="preserve">Penerimaan Pinjaman Daerah </v>
          </cell>
        </row>
        <row r="200">
          <cell r="P200">
            <v>61501</v>
          </cell>
          <cell r="Q200" t="str">
            <v>Penerimaan Kembali Pemberian Pinjaman</v>
          </cell>
        </row>
        <row r="201">
          <cell r="P201">
            <v>61601</v>
          </cell>
          <cell r="Q201" t="str">
            <v>Penerimaan Piutang Daerah</v>
          </cell>
        </row>
        <row r="202">
          <cell r="P202">
            <v>62101</v>
          </cell>
          <cell r="Q202" t="str">
            <v>Pembentukan Dana Cadangan</v>
          </cell>
        </row>
        <row r="203">
          <cell r="P203">
            <v>62201</v>
          </cell>
          <cell r="Q203" t="str">
            <v>Penyertaan Modal (Investasi) Pemerintah Daerah</v>
          </cell>
        </row>
        <row r="204">
          <cell r="P204">
            <v>62301</v>
          </cell>
          <cell r="Q204" t="str">
            <v>Pembayaran pokok utang</v>
          </cell>
        </row>
        <row r="205">
          <cell r="P205">
            <v>62401</v>
          </cell>
          <cell r="Q205" t="str">
            <v>Pemberian pinjaman daerah</v>
          </cell>
        </row>
        <row r="206">
          <cell r="P206">
            <v>63001</v>
          </cell>
          <cell r="Q206" t="str">
            <v>Sisa Lebih Pembiayaan Anggaran Tahun Berkenaan</v>
          </cell>
        </row>
        <row r="207">
          <cell r="P207">
            <v>114071</v>
          </cell>
          <cell r="Q207" t="str">
            <v>Uang Muka Proyek</v>
          </cell>
        </row>
        <row r="208">
          <cell r="P208">
            <v>411061</v>
          </cell>
          <cell r="Q208" t="str">
            <v>Pajak air Bawah Tanah</v>
          </cell>
        </row>
        <row r="209">
          <cell r="P209">
            <v>414111</v>
          </cell>
          <cell r="Q209" t="str">
            <v>Fasilitas Umum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Jurnal"/>
      <sheetName val="Sheet2"/>
      <sheetName val="Sheet3"/>
      <sheetName val="Sheet1"/>
      <sheetName val="Sheet4"/>
      <sheetName val="Sheet5"/>
      <sheetName val="Sheet6"/>
    </sheetNames>
    <sheetDataSet>
      <sheetData sheetId="0">
        <row r="1">
          <cell r="P1" t="str">
            <v>REF</v>
          </cell>
          <cell r="Q1" t="str">
            <v>URAIAN</v>
          </cell>
        </row>
        <row r="2">
          <cell r="P2">
            <v>11101</v>
          </cell>
          <cell r="Q2" t="str">
            <v>Kas di Kas Daerah</v>
          </cell>
        </row>
        <row r="3">
          <cell r="P3">
            <v>11102</v>
          </cell>
          <cell r="Q3" t="str">
            <v>Kas di Bendahara Penerimaan</v>
          </cell>
        </row>
        <row r="4">
          <cell r="P4">
            <v>11103</v>
          </cell>
          <cell r="Q4" t="str">
            <v>Kas di Bendahara Pengeluaran</v>
          </cell>
        </row>
        <row r="5">
          <cell r="P5">
            <v>11201</v>
          </cell>
          <cell r="Q5" t="str">
            <v>Investasi Jangka Pendek</v>
          </cell>
        </row>
        <row r="6">
          <cell r="P6">
            <v>11301</v>
          </cell>
          <cell r="Q6" t="str">
            <v xml:space="preserve">Piutang Pajak </v>
          </cell>
        </row>
        <row r="7">
          <cell r="P7">
            <v>11302</v>
          </cell>
          <cell r="Q7" t="str">
            <v>Piutang Retribusi</v>
          </cell>
        </row>
        <row r="8">
          <cell r="P8">
            <v>11303</v>
          </cell>
          <cell r="Q8" t="str">
            <v>Piutang Dana Bagi Hasil</v>
          </cell>
        </row>
        <row r="9">
          <cell r="P9">
            <v>11304</v>
          </cell>
          <cell r="Q9" t="str">
            <v>Piutang DAU</v>
          </cell>
        </row>
        <row r="10">
          <cell r="P10">
            <v>11305</v>
          </cell>
          <cell r="Q10" t="str">
            <v>Piutang DAK</v>
          </cell>
        </row>
        <row r="11">
          <cell r="P11">
            <v>11401</v>
          </cell>
          <cell r="Q11" t="str">
            <v>Bagian Lancar Tagihan Penjualan Angsuran</v>
          </cell>
        </row>
        <row r="12">
          <cell r="P12">
            <v>11402</v>
          </cell>
          <cell r="Q12" t="str">
            <v>Bagian Lancar Tuntutan Ganti Kerugian Daerah</v>
          </cell>
        </row>
        <row r="13">
          <cell r="P13">
            <v>11405</v>
          </cell>
          <cell r="Q13" t="str">
            <v>Bagian Lancar Pinjaman Kepada BUMD</v>
          </cell>
        </row>
        <row r="14">
          <cell r="P14">
            <v>11407</v>
          </cell>
          <cell r="Q14" t="str">
            <v>Piutang Lain-Lain</v>
          </cell>
        </row>
        <row r="15">
          <cell r="P15">
            <v>11501</v>
          </cell>
          <cell r="Q15" t="str">
            <v>Persediaan</v>
          </cell>
        </row>
        <row r="16">
          <cell r="P16">
            <v>12101</v>
          </cell>
          <cell r="Q16" t="str">
            <v>Pinjaman Kepada Perusahaan Negara</v>
          </cell>
        </row>
        <row r="17">
          <cell r="P17">
            <v>12102</v>
          </cell>
          <cell r="Q17" t="str">
            <v>Pinjaman Kepada Perusahaan Daerah</v>
          </cell>
        </row>
        <row r="18">
          <cell r="P18">
            <v>12103</v>
          </cell>
          <cell r="Q18" t="str">
            <v>Pinjaman Kepada Pemerintah Daerah Lainnya</v>
          </cell>
        </row>
        <row r="19">
          <cell r="P19">
            <v>12104</v>
          </cell>
          <cell r="Q19" t="str">
            <v>Investasi Dalam Surat Utang Negara</v>
          </cell>
        </row>
        <row r="20">
          <cell r="P20">
            <v>12105</v>
          </cell>
          <cell r="Q20" t="str">
            <v>Investasi Non Permanen Lainnya</v>
          </cell>
        </row>
        <row r="21">
          <cell r="P21">
            <v>12106</v>
          </cell>
          <cell r="Q21" t="str">
            <v>Investasi Dana Bergulir</v>
          </cell>
        </row>
        <row r="22">
          <cell r="P22">
            <v>12201</v>
          </cell>
          <cell r="Q22" t="str">
            <v>Penyertaan Modal Pemerintah Daerah</v>
          </cell>
        </row>
        <row r="23">
          <cell r="P23">
            <v>12202</v>
          </cell>
          <cell r="Q23" t="str">
            <v>Penyertaan Modal Dalam Proyek Pembangunan</v>
          </cell>
        </row>
        <row r="24">
          <cell r="P24">
            <v>12203</v>
          </cell>
          <cell r="Q24" t="str">
            <v>Penyertaan Modal Perusahaan Patungan</v>
          </cell>
        </row>
        <row r="25">
          <cell r="P25">
            <v>12204</v>
          </cell>
          <cell r="Q25" t="str">
            <v>Investasi Permanen Lainnya</v>
          </cell>
        </row>
        <row r="26">
          <cell r="P26">
            <v>13101</v>
          </cell>
          <cell r="Q26" t="str">
            <v>Tanah</v>
          </cell>
        </row>
        <row r="27">
          <cell r="P27">
            <v>13201</v>
          </cell>
          <cell r="Q27" t="str">
            <v>Alat-Alat Berat</v>
          </cell>
        </row>
        <row r="28">
          <cell r="P28">
            <v>13202</v>
          </cell>
          <cell r="Q28" t="str">
            <v>Alat-Alat Angkutan</v>
          </cell>
        </row>
        <row r="29">
          <cell r="P29">
            <v>13207</v>
          </cell>
          <cell r="Q29" t="str">
            <v>Alat Bengkel</v>
          </cell>
        </row>
        <row r="30">
          <cell r="P30">
            <v>13208</v>
          </cell>
          <cell r="Q30" t="str">
            <v>Alat Pertanian dan Peternakan</v>
          </cell>
        </row>
        <row r="31">
          <cell r="P31">
            <v>13209</v>
          </cell>
          <cell r="Q31" t="str">
            <v>Alat Kantor dan Rumah Tangga</v>
          </cell>
        </row>
        <row r="32">
          <cell r="P32">
            <v>13215</v>
          </cell>
          <cell r="Q32" t="str">
            <v>Alat Studio dan Komunikasi</v>
          </cell>
        </row>
        <row r="33">
          <cell r="P33">
            <v>13217</v>
          </cell>
          <cell r="Q33" t="str">
            <v>Alat Ukur</v>
          </cell>
        </row>
        <row r="34">
          <cell r="P34">
            <v>13218</v>
          </cell>
          <cell r="Q34" t="str">
            <v>Alat-Alat Kedokteran</v>
          </cell>
        </row>
        <row r="35">
          <cell r="P35">
            <v>13219</v>
          </cell>
          <cell r="Q35" t="str">
            <v>Alat Laboratorium</v>
          </cell>
        </row>
        <row r="36">
          <cell r="P36">
            <v>13220</v>
          </cell>
          <cell r="Q36" t="str">
            <v>Alat Keamanan</v>
          </cell>
        </row>
        <row r="37">
          <cell r="P37">
            <v>13301</v>
          </cell>
          <cell r="Q37" t="str">
            <v>Bangunan Gedung</v>
          </cell>
        </row>
        <row r="38">
          <cell r="P38">
            <v>13306</v>
          </cell>
          <cell r="Q38" t="str">
            <v>Bangunan Monumen</v>
          </cell>
        </row>
        <row r="39">
          <cell r="P39">
            <v>13401</v>
          </cell>
          <cell r="Q39" t="str">
            <v>Jalan dan Jembatan</v>
          </cell>
        </row>
        <row r="40">
          <cell r="P40">
            <v>13403</v>
          </cell>
          <cell r="Q40" t="str">
            <v>Bangunan Air (Irigasi)</v>
          </cell>
        </row>
        <row r="41">
          <cell r="P41">
            <v>13405</v>
          </cell>
          <cell r="Q41" t="str">
            <v>Instalasi</v>
          </cell>
        </row>
        <row r="42">
          <cell r="P42">
            <v>13406</v>
          </cell>
          <cell r="Q42" t="str">
            <v>Jaringan</v>
          </cell>
        </row>
        <row r="43">
          <cell r="P43">
            <v>13501</v>
          </cell>
          <cell r="Q43" t="str">
            <v>Buku dan Perpustakaan</v>
          </cell>
        </row>
        <row r="44">
          <cell r="P44">
            <v>13502</v>
          </cell>
          <cell r="Q44" t="str">
            <v>Barang Bercorak Kesenian/Kebudayaan</v>
          </cell>
        </row>
        <row r="45">
          <cell r="P45">
            <v>13503</v>
          </cell>
          <cell r="Q45" t="str">
            <v>Hewan/Ternak dan Tumbuhan</v>
          </cell>
        </row>
        <row r="46">
          <cell r="P46">
            <v>13504</v>
          </cell>
          <cell r="Q46" t="str">
            <v>Rambu/Plang Petunjuk</v>
          </cell>
        </row>
        <row r="47">
          <cell r="P47">
            <v>13601</v>
          </cell>
          <cell r="Q47" t="str">
            <v>Konstruksi Dalam Pengerjaan</v>
          </cell>
        </row>
        <row r="48">
          <cell r="P48">
            <v>13701</v>
          </cell>
          <cell r="Q48" t="str">
            <v>Akumulasi Penyusutan Aset Tetap</v>
          </cell>
        </row>
        <row r="49">
          <cell r="P49">
            <v>14101</v>
          </cell>
          <cell r="Q49" t="str">
            <v>Dana Cadangan</v>
          </cell>
        </row>
        <row r="50">
          <cell r="P50">
            <v>15101</v>
          </cell>
          <cell r="Q50" t="str">
            <v>Tagihan Penjualan Angsuran</v>
          </cell>
        </row>
        <row r="51">
          <cell r="P51">
            <v>15201</v>
          </cell>
          <cell r="Q51" t="str">
            <v>Tagihan Tuntutan Ganti Kerugian Daerah</v>
          </cell>
        </row>
        <row r="52">
          <cell r="P52">
            <v>15301</v>
          </cell>
          <cell r="Q52" t="str">
            <v>Kemitraan Dengan Pihak Ketiga</v>
          </cell>
        </row>
        <row r="53">
          <cell r="P53">
            <v>15401</v>
          </cell>
          <cell r="Q53" t="str">
            <v>Aset Tak Berwujud</v>
          </cell>
        </row>
        <row r="54">
          <cell r="P54">
            <v>15501</v>
          </cell>
          <cell r="Q54" t="str">
            <v>Aset Lain-Lain</v>
          </cell>
        </row>
        <row r="55">
          <cell r="P55">
            <v>16101</v>
          </cell>
          <cell r="Q55" t="str">
            <v>RK SKPD</v>
          </cell>
        </row>
        <row r="56">
          <cell r="P56">
            <v>21101</v>
          </cell>
          <cell r="Q56" t="str">
            <v>Utang Perhitungan Pihak Ketiga</v>
          </cell>
        </row>
        <row r="57">
          <cell r="P57">
            <v>21201</v>
          </cell>
          <cell r="Q57" t="str">
            <v>Utang Bunga</v>
          </cell>
        </row>
        <row r="58">
          <cell r="P58">
            <v>21301</v>
          </cell>
          <cell r="Q58" t="str">
            <v>Utang Pajak</v>
          </cell>
        </row>
        <row r="59">
          <cell r="P59">
            <v>21401</v>
          </cell>
          <cell r="Q59" t="str">
            <v>Bagian Lancar Utang Jangka Panjang Dalam Negeri</v>
          </cell>
        </row>
        <row r="60">
          <cell r="P60">
            <v>21501</v>
          </cell>
          <cell r="Q60" t="str">
            <v>Pendapatan Diterima Dimuka</v>
          </cell>
        </row>
        <row r="61">
          <cell r="P61">
            <v>21601</v>
          </cell>
          <cell r="Q61" t="str">
            <v>Utang Jangka Pendek Lainnya</v>
          </cell>
        </row>
        <row r="62">
          <cell r="P62">
            <v>22101</v>
          </cell>
          <cell r="Q62" t="str">
            <v>Utang Dalam Negeri</v>
          </cell>
        </row>
        <row r="63">
          <cell r="P63">
            <v>22201</v>
          </cell>
          <cell r="Q63" t="str">
            <v>Utang Luar Negeri</v>
          </cell>
        </row>
        <row r="64">
          <cell r="P64">
            <v>22301</v>
          </cell>
          <cell r="Q64" t="str">
            <v>Utang Jangka Panjang Lainnya</v>
          </cell>
        </row>
        <row r="65">
          <cell r="P65">
            <v>31101</v>
          </cell>
          <cell r="Q65" t="str">
            <v>Sisa Lebih Perhitungan Anggaran (SILPA)</v>
          </cell>
        </row>
        <row r="66">
          <cell r="P66">
            <v>31201</v>
          </cell>
          <cell r="Q66" t="str">
            <v>Cadangan Piutang</v>
          </cell>
        </row>
        <row r="67">
          <cell r="P67">
            <v>31301</v>
          </cell>
          <cell r="Q67" t="str">
            <v>Cadangan Persediaan</v>
          </cell>
        </row>
        <row r="68">
          <cell r="P68">
            <v>31401</v>
          </cell>
          <cell r="Q68" t="str">
            <v>Dana Yang Harus Disediakan Untuk Pembayaran Utang Jangka Pendek</v>
          </cell>
        </row>
        <row r="69">
          <cell r="P69">
            <v>31501</v>
          </cell>
          <cell r="Q69" t="str">
            <v>Pendapatan Yang Ditangguhkan</v>
          </cell>
        </row>
        <row r="70">
          <cell r="P70">
            <v>32101</v>
          </cell>
          <cell r="Q70" t="str">
            <v>Diinvestasikan Dalam Investasi Jangka Panjang</v>
          </cell>
        </row>
        <row r="71">
          <cell r="P71">
            <v>32201</v>
          </cell>
          <cell r="Q71" t="str">
            <v>Diinvestasikan Dalam Aset Tetap</v>
          </cell>
        </row>
        <row r="72">
          <cell r="P72">
            <v>32301</v>
          </cell>
          <cell r="Q72" t="str">
            <v>Diinvestasikan Dalam Aset Lainnya</v>
          </cell>
        </row>
        <row r="73">
          <cell r="P73">
            <v>32401</v>
          </cell>
          <cell r="Q73" t="str">
            <v>Dana Yang Harus Disediakan Untuk Pembayaran Utang Jangka Panjang</v>
          </cell>
        </row>
        <row r="74">
          <cell r="P74">
            <v>33101</v>
          </cell>
          <cell r="Q74" t="str">
            <v>Diinvestasikan dalam Dana Cadangan</v>
          </cell>
        </row>
        <row r="75">
          <cell r="P75">
            <v>34101</v>
          </cell>
          <cell r="Q75" t="str">
            <v>RK PPKD</v>
          </cell>
        </row>
        <row r="76">
          <cell r="P76">
            <v>41101</v>
          </cell>
          <cell r="Q76" t="str">
            <v>Pajak Kendaraan Bermotor</v>
          </cell>
        </row>
        <row r="77">
          <cell r="P77">
            <v>41102</v>
          </cell>
          <cell r="Q77" t="str">
            <v>Pajak Kendaraan Di Atas Air</v>
          </cell>
        </row>
        <row r="78">
          <cell r="P78">
            <v>41103</v>
          </cell>
          <cell r="Q78" t="str">
            <v>Bea Balik Nama Kendaraan Bermotor</v>
          </cell>
        </row>
        <row r="79">
          <cell r="P79">
            <v>41104</v>
          </cell>
          <cell r="Q79" t="str">
            <v>Bea Balik Nama Kendaraan Di Atas Air</v>
          </cell>
        </row>
        <row r="80">
          <cell r="P80">
            <v>41105</v>
          </cell>
          <cell r="Q80" t="str">
            <v>Pajak Bahan Bakar Kendaraan Bermotor</v>
          </cell>
        </row>
        <row r="81">
          <cell r="P81">
            <v>41106</v>
          </cell>
          <cell r="Q81" t="str">
            <v>Pajak Air Permukaan</v>
          </cell>
        </row>
        <row r="82">
          <cell r="P82">
            <v>41201</v>
          </cell>
          <cell r="Q82" t="str">
            <v>Retribusi Jasa Umum</v>
          </cell>
        </row>
        <row r="83">
          <cell r="P83">
            <v>41202</v>
          </cell>
          <cell r="Q83" t="str">
            <v>Retribusi Jasa Usaha</v>
          </cell>
        </row>
        <row r="84">
          <cell r="P84">
            <v>41203</v>
          </cell>
          <cell r="Q84" t="str">
            <v>Retribusi Perizinan Tertentu</v>
          </cell>
        </row>
        <row r="85">
          <cell r="P85">
            <v>41301</v>
          </cell>
          <cell r="Q85" t="str">
            <v>Bagian Laba Atas Penyertaan Modal Pada Perusahaan Milik Daerah/BUMD</v>
          </cell>
        </row>
        <row r="86">
          <cell r="P86">
            <v>41302</v>
          </cell>
          <cell r="Q86" t="str">
            <v>Bagian Laba Atas Penyertaan Modal Pada Perusahaan Milik Pemerintah/BUMN</v>
          </cell>
        </row>
        <row r="87">
          <cell r="P87">
            <v>41303</v>
          </cell>
          <cell r="Q87" t="str">
            <v>Bagian Laba Atas Penyertaan Modal Pada Perusahaan Patungan/Swasta</v>
          </cell>
        </row>
        <row r="88">
          <cell r="P88">
            <v>41401</v>
          </cell>
          <cell r="Q88" t="str">
            <v>Hasil Penjualan Aset Daerah Yang Tidak Dipisahkan</v>
          </cell>
        </row>
        <row r="89">
          <cell r="P89">
            <v>41402</v>
          </cell>
          <cell r="Q89" t="str">
            <v>Jasa Giro</v>
          </cell>
        </row>
        <row r="90">
          <cell r="P90">
            <v>41403</v>
          </cell>
          <cell r="Q90" t="str">
            <v>Pendapatan Bunga</v>
          </cell>
        </row>
        <row r="91">
          <cell r="P91">
            <v>41404</v>
          </cell>
          <cell r="Q91" t="str">
            <v>Tuntutan Ganti Rugi (TGR)</v>
          </cell>
        </row>
        <row r="92">
          <cell r="P92">
            <v>41406</v>
          </cell>
          <cell r="Q92" t="str">
            <v>Pendapatan Denda Atas Keterlambatan Pelaksanaan Pekerjaan</v>
          </cell>
        </row>
        <row r="93">
          <cell r="P93">
            <v>41407</v>
          </cell>
          <cell r="Q93" t="str">
            <v>Pendapatan Denda Pajak</v>
          </cell>
        </row>
        <row r="94">
          <cell r="P94">
            <v>41408</v>
          </cell>
          <cell r="Q94" t="str">
            <v>Pendapatan Denda Retribusi</v>
          </cell>
        </row>
        <row r="95">
          <cell r="P95">
            <v>41410</v>
          </cell>
          <cell r="Q95" t="str">
            <v>Pendapatan dari Pengembalian</v>
          </cell>
        </row>
        <row r="96">
          <cell r="P96">
            <v>41411</v>
          </cell>
          <cell r="Q96" t="str">
            <v xml:space="preserve">Fasilitasi Sosial </v>
          </cell>
        </row>
        <row r="97">
          <cell r="P97">
            <v>41412</v>
          </cell>
          <cell r="Q97" t="str">
            <v>Pendapatan dari Penyelenggaraan Pendidikan dan Pelatihan</v>
          </cell>
        </row>
        <row r="98">
          <cell r="P98">
            <v>41413</v>
          </cell>
          <cell r="Q98" t="str">
            <v>Pendapatan dari Angsuran/Cicilan Penjualan</v>
          </cell>
        </row>
        <row r="99">
          <cell r="P99">
            <v>42101</v>
          </cell>
          <cell r="Q99" t="str">
            <v>Bagi Hasil Pajak</v>
          </cell>
        </row>
        <row r="100">
          <cell r="P100">
            <v>42102</v>
          </cell>
          <cell r="Q100" t="str">
            <v>Bagi Hasil Bukan Pajak/SDA</v>
          </cell>
        </row>
        <row r="101">
          <cell r="P101">
            <v>42201</v>
          </cell>
          <cell r="Q101" t="str">
            <v>DAU</v>
          </cell>
        </row>
        <row r="102">
          <cell r="P102">
            <v>42301</v>
          </cell>
          <cell r="Q102" t="str">
            <v>DAK</v>
          </cell>
        </row>
        <row r="103">
          <cell r="P103">
            <v>43201</v>
          </cell>
          <cell r="Q103" t="str">
            <v>Penanggulangan Korban/Kerusakan Akibat Bencana Alam</v>
          </cell>
        </row>
        <row r="104">
          <cell r="P104">
            <v>43301</v>
          </cell>
          <cell r="Q104" t="str">
            <v>Dana Bagi Hasil Pajak dari Provinsi</v>
          </cell>
        </row>
        <row r="105">
          <cell r="P105">
            <v>43302</v>
          </cell>
          <cell r="Q105" t="str">
            <v>Dana Bagi Hasil Pajak dari Kabupaten</v>
          </cell>
        </row>
        <row r="106">
          <cell r="P106">
            <v>43303</v>
          </cell>
          <cell r="Q106" t="str">
            <v>Dana Bagi Hasil Pajak dari Kota</v>
          </cell>
        </row>
        <row r="107">
          <cell r="P107">
            <v>43401</v>
          </cell>
          <cell r="Q107" t="str">
            <v>Dana Penyesuaian</v>
          </cell>
        </row>
        <row r="108">
          <cell r="P108">
            <v>43402</v>
          </cell>
          <cell r="Q108" t="str">
            <v>Dana Otonomi Khusus</v>
          </cell>
        </row>
        <row r="109">
          <cell r="P109">
            <v>43501</v>
          </cell>
          <cell r="Q109" t="str">
            <v>Bantuan Keuangan dari Provinsi</v>
          </cell>
        </row>
        <row r="110">
          <cell r="P110">
            <v>43502</v>
          </cell>
          <cell r="Q110" t="str">
            <v>Bantuan Keuangan dari Kabupaten</v>
          </cell>
        </row>
        <row r="111">
          <cell r="P111">
            <v>43503</v>
          </cell>
          <cell r="Q111" t="str">
            <v>Bantuan Keuangan dari Kota</v>
          </cell>
        </row>
        <row r="112">
          <cell r="P112">
            <v>51101</v>
          </cell>
          <cell r="Q112" t="str">
            <v>Gaji dan Tunjangan</v>
          </cell>
        </row>
        <row r="113">
          <cell r="P113">
            <v>51102</v>
          </cell>
          <cell r="Q113" t="str">
            <v>Tambahan penghasilan PNS</v>
          </cell>
        </row>
        <row r="114">
          <cell r="P114">
            <v>51103</v>
          </cell>
          <cell r="Q114" t="str">
            <v>Belanja Penerimaan Lainnya Pimpinan dan Anggota DPRD serta KDH/WKDH</v>
          </cell>
        </row>
        <row r="115">
          <cell r="P115">
            <v>51104</v>
          </cell>
          <cell r="Q115" t="str">
            <v>Biaya Pemungutan Pajak Daerah</v>
          </cell>
        </row>
        <row r="116">
          <cell r="P116">
            <v>51201</v>
          </cell>
          <cell r="Q116" t="str">
            <v>Bunga utang pinjaman</v>
          </cell>
        </row>
        <row r="117">
          <cell r="P117">
            <v>51202</v>
          </cell>
          <cell r="Q117" t="str">
            <v>Bunga utang obligasi</v>
          </cell>
        </row>
        <row r="118">
          <cell r="P118">
            <v>51301</v>
          </cell>
          <cell r="Q118" t="str">
            <v>Bunga Subsidi kepada Perusahaan/Lembaga</v>
          </cell>
        </row>
        <row r="119">
          <cell r="P119">
            <v>51401</v>
          </cell>
          <cell r="Q119" t="str">
            <v>Belanja Hibah kepada Pemerintah Pusat</v>
          </cell>
        </row>
        <row r="120">
          <cell r="P120">
            <v>51402</v>
          </cell>
          <cell r="Q120" t="str">
            <v>Belanja Hibah kepada Pemerintah Daerah Lainnya</v>
          </cell>
        </row>
        <row r="121">
          <cell r="P121">
            <v>51403</v>
          </cell>
          <cell r="Q121" t="str">
            <v>Belanja Hibah kepada Pemerintah Desa</v>
          </cell>
        </row>
        <row r="122">
          <cell r="P122">
            <v>51404</v>
          </cell>
          <cell r="Q122" t="str">
            <v>Belanja Hibah kepada Perusahaan Daerah/BUMD/BUMN</v>
          </cell>
        </row>
        <row r="123">
          <cell r="P123">
            <v>51405</v>
          </cell>
          <cell r="Q123" t="str">
            <v>Belanja Hibah kepada Badan/Lembaga/Organisasi</v>
          </cell>
        </row>
        <row r="124">
          <cell r="P124">
            <v>51406</v>
          </cell>
          <cell r="Q124" t="str">
            <v>Belanja Hibah kepada Kelompok/Anggota Masyarakat</v>
          </cell>
        </row>
        <row r="125">
          <cell r="P125">
            <v>51501</v>
          </cell>
          <cell r="Q125" t="str">
            <v>Belanja Bantuan Sosial kepada Organisasi Sosial Kemasyarakatan</v>
          </cell>
        </row>
        <row r="126">
          <cell r="P126">
            <v>51502</v>
          </cell>
          <cell r="Q126" t="str">
            <v>Belanja Bantuan Sosial kepada Kelompok Masyarakat</v>
          </cell>
        </row>
        <row r="127">
          <cell r="P127">
            <v>51503</v>
          </cell>
          <cell r="Q127" t="str">
            <v>Belanja Bantuan Sosial kepada Anggota Masyarakat</v>
          </cell>
        </row>
        <row r="128">
          <cell r="P128">
            <v>51504</v>
          </cell>
          <cell r="Q128" t="str">
            <v>Belanja Bantuan Partai Politik</v>
          </cell>
        </row>
        <row r="129">
          <cell r="P129">
            <v>51601</v>
          </cell>
          <cell r="Q129" t="str">
            <v>Belanja Bagi Hasil Pajak Daerah kepada Provinsi</v>
          </cell>
        </row>
        <row r="130">
          <cell r="P130">
            <v>51602</v>
          </cell>
          <cell r="Q130" t="str">
            <v>Belanja Bagi Hasil Pajak Daerah kepada Kabupaten/Kota</v>
          </cell>
        </row>
        <row r="131">
          <cell r="P131">
            <v>51603</v>
          </cell>
          <cell r="Q131" t="str">
            <v>Belanja Bagi Hasil Pajak Daerah kepada Pemerintah Desa</v>
          </cell>
        </row>
        <row r="132">
          <cell r="P132">
            <v>51604</v>
          </cell>
          <cell r="Q132" t="str">
            <v>Belanja Bagi Hasil Retribusi Daerah kepada Kabupaten/Kota</v>
          </cell>
        </row>
        <row r="133">
          <cell r="P133">
            <v>51605</v>
          </cell>
          <cell r="Q133" t="str">
            <v>Belanja Bagi Hasil Retribusi Daerah kepada Pemerintah Desa</v>
          </cell>
        </row>
        <row r="134">
          <cell r="P134">
            <v>51701</v>
          </cell>
          <cell r="Q134" t="str">
            <v>Belanja Bantuan Keuangan Kepada Provinsi</v>
          </cell>
        </row>
        <row r="135">
          <cell r="P135">
            <v>51702</v>
          </cell>
          <cell r="Q135" t="str">
            <v>Belanja Bantuan Keuangan Kepada Kabupaten/Kota</v>
          </cell>
        </row>
        <row r="136">
          <cell r="P136">
            <v>51703</v>
          </cell>
          <cell r="Q136" t="str">
            <v>Belanja Bantuan Keuangan Kepada Desa</v>
          </cell>
        </row>
        <row r="137">
          <cell r="P137">
            <v>51704</v>
          </cell>
          <cell r="Q137" t="str">
            <v>Belanja Bantuan Keuangan kepada Pemerintah Daerah/Pemerintah Desa Lainnya</v>
          </cell>
        </row>
        <row r="138">
          <cell r="P138">
            <v>51801</v>
          </cell>
          <cell r="Q138" t="str">
            <v>Belanja Tidak Terduga</v>
          </cell>
        </row>
        <row r="139">
          <cell r="P139">
            <v>52101</v>
          </cell>
          <cell r="Q139" t="str">
            <v>Honorarium PNS</v>
          </cell>
        </row>
        <row r="140">
          <cell r="P140">
            <v>52102</v>
          </cell>
          <cell r="Q140" t="str">
            <v>Honorarium Non PNS</v>
          </cell>
        </row>
        <row r="141">
          <cell r="P141">
            <v>52103</v>
          </cell>
          <cell r="Q141" t="str">
            <v>Uang lembur</v>
          </cell>
        </row>
        <row r="142">
          <cell r="P142">
            <v>52201</v>
          </cell>
          <cell r="Q142" t="str">
            <v>Belanja Bahan Pakai Habis</v>
          </cell>
        </row>
        <row r="143">
          <cell r="P143">
            <v>52202</v>
          </cell>
          <cell r="Q143" t="str">
            <v>Belanja Bahan/Material</v>
          </cell>
        </row>
        <row r="144">
          <cell r="P144">
            <v>52203</v>
          </cell>
          <cell r="Q144" t="str">
            <v>Belanja Jasa kantor</v>
          </cell>
        </row>
        <row r="145">
          <cell r="P145">
            <v>52204</v>
          </cell>
          <cell r="Q145" t="str">
            <v>Belanja Premi Asuransi</v>
          </cell>
        </row>
        <row r="146">
          <cell r="P146">
            <v>52205</v>
          </cell>
          <cell r="Q146" t="str">
            <v>Belanja Perawatan Kendaraan Bermotor</v>
          </cell>
        </row>
        <row r="147">
          <cell r="P147">
            <v>52206</v>
          </cell>
          <cell r="Q147" t="str">
            <v>Belanja Cetak dan Penggandaan</v>
          </cell>
        </row>
        <row r="148">
          <cell r="P148">
            <v>52207</v>
          </cell>
          <cell r="Q148" t="str">
            <v>Belanja Sewa Rumah/Gedung/Gudang/Parkir</v>
          </cell>
        </row>
        <row r="149">
          <cell r="P149">
            <v>52208</v>
          </cell>
          <cell r="Q149" t="str">
            <v>Belanja Sewa Sarana Mobilitas</v>
          </cell>
        </row>
        <row r="150">
          <cell r="P150">
            <v>52209</v>
          </cell>
          <cell r="Q150" t="str">
            <v>Belanja Sewa Alat Berat</v>
          </cell>
        </row>
        <row r="151">
          <cell r="P151">
            <v>52210</v>
          </cell>
          <cell r="Q151" t="str">
            <v>Belanja Sewa Perlengkapan dan Peralatan kantor</v>
          </cell>
        </row>
        <row r="152">
          <cell r="P152">
            <v>52211</v>
          </cell>
          <cell r="Q152" t="str">
            <v>Belanja makanan dan minuman</v>
          </cell>
        </row>
        <row r="153">
          <cell r="P153">
            <v>52212</v>
          </cell>
          <cell r="Q153" t="str">
            <v>Belanja pakaian dinas dan atribut</v>
          </cell>
        </row>
        <row r="154">
          <cell r="P154">
            <v>52213</v>
          </cell>
          <cell r="Q154" t="str">
            <v>Belanja pakaian kerja</v>
          </cell>
        </row>
        <row r="155">
          <cell r="P155">
            <v>52214</v>
          </cell>
          <cell r="Q155" t="str">
            <v>Belanja pakaian khusus dan hari-hari tertentu</v>
          </cell>
        </row>
        <row r="156">
          <cell r="P156">
            <v>52215</v>
          </cell>
          <cell r="Q156" t="str">
            <v>Belanja perjalanan dinas</v>
          </cell>
        </row>
        <row r="157">
          <cell r="P157">
            <v>52216</v>
          </cell>
          <cell r="Q157" t="str">
            <v>Belanja beasiswa pendidikan PNS</v>
          </cell>
        </row>
        <row r="158">
          <cell r="P158">
            <v>52217</v>
          </cell>
          <cell r="Q158" t="str">
            <v>Belanja kursus, pelatihan, sosialisasi dan bimbingan teknis PNS</v>
          </cell>
        </row>
        <row r="159">
          <cell r="P159">
            <v>52218</v>
          </cell>
          <cell r="Q159" t="str">
            <v>Belanja perjalanan pindah tugas</v>
          </cell>
        </row>
        <row r="160">
          <cell r="P160">
            <v>52219</v>
          </cell>
          <cell r="Q160" t="str">
            <v>Belanja pemulangan pegawai</v>
          </cell>
        </row>
        <row r="161">
          <cell r="P161">
            <v>52220</v>
          </cell>
          <cell r="Q161" t="str">
            <v>Belanja pemeliharaan</v>
          </cell>
        </row>
        <row r="162">
          <cell r="P162">
            <v>52221</v>
          </cell>
          <cell r="Q162" t="str">
            <v>Belanja jasa konsultasi</v>
          </cell>
        </row>
        <row r="163">
          <cell r="P163">
            <v>52222</v>
          </cell>
          <cell r="Q163" t="str">
            <v>Belanja jasa publikasi</v>
          </cell>
        </row>
        <row r="164">
          <cell r="P164">
            <v>52301</v>
          </cell>
          <cell r="Q164" t="str">
            <v>Belanja modal pengadaan tanah</v>
          </cell>
        </row>
        <row r="165">
          <cell r="P165">
            <v>52302</v>
          </cell>
          <cell r="Q165" t="str">
            <v>Belanja modal pengadaan alat-alat berat</v>
          </cell>
        </row>
        <row r="166">
          <cell r="P166">
            <v>52303</v>
          </cell>
          <cell r="Q166" t="str">
            <v>Belanja modal pengadaan alat-alat angkutan darat bermotor</v>
          </cell>
        </row>
        <row r="167">
          <cell r="P167">
            <v>52304</v>
          </cell>
          <cell r="Q167" t="str">
            <v>Belanja modal pengadaan alat-alat angkutan darat tidak bermotor</v>
          </cell>
        </row>
        <row r="168">
          <cell r="P168">
            <v>52305</v>
          </cell>
          <cell r="Q168" t="str">
            <v>Belanja modal pengadaan alat-alat angkutan di air bermotor</v>
          </cell>
        </row>
        <row r="169">
          <cell r="P169">
            <v>52306</v>
          </cell>
          <cell r="Q169" t="str">
            <v>Belanja modal pengadaan alat-alat angkutan di air tidak bermotor</v>
          </cell>
        </row>
        <row r="170">
          <cell r="P170">
            <v>52308</v>
          </cell>
          <cell r="Q170" t="str">
            <v>Belanja modal pengadaan alat-alat bengkel</v>
          </cell>
        </row>
        <row r="171">
          <cell r="P171">
            <v>52309</v>
          </cell>
          <cell r="Q171" t="str">
            <v>Belanja modal pengadaan alat-alat pengolahan pertanian dan peternakan</v>
          </cell>
        </row>
        <row r="172">
          <cell r="P172">
            <v>52310</v>
          </cell>
          <cell r="Q172" t="str">
            <v>Belanja modal pengadaan peralatan kantor</v>
          </cell>
        </row>
        <row r="173">
          <cell r="P173">
            <v>52311</v>
          </cell>
          <cell r="Q173" t="str">
            <v>Belanja modal pengadaan perlengkapan kantor</v>
          </cell>
        </row>
        <row r="174">
          <cell r="P174">
            <v>52312</v>
          </cell>
          <cell r="Q174" t="str">
            <v>Belanja modal pengadaan komputer</v>
          </cell>
        </row>
        <row r="175">
          <cell r="P175">
            <v>52313</v>
          </cell>
          <cell r="Q175" t="str">
            <v>Belanja modal pengadaan meubelair</v>
          </cell>
        </row>
        <row r="176">
          <cell r="P176">
            <v>52314</v>
          </cell>
          <cell r="Q176" t="str">
            <v>Belanja modal pengadaan peralatan dapur</v>
          </cell>
        </row>
        <row r="177">
          <cell r="P177">
            <v>52315</v>
          </cell>
          <cell r="Q177" t="str">
            <v>Belanja modal pengadaan penghias ruangan rumah tangga</v>
          </cell>
        </row>
        <row r="178">
          <cell r="P178">
            <v>52316</v>
          </cell>
          <cell r="Q178" t="str">
            <v>Belanja modal pengadaan alat-alat studio</v>
          </cell>
        </row>
        <row r="179">
          <cell r="P179">
            <v>52317</v>
          </cell>
          <cell r="Q179" t="str">
            <v>Belanja modal pengadaan alat-alat komunikasi</v>
          </cell>
        </row>
        <row r="180">
          <cell r="P180">
            <v>52318</v>
          </cell>
          <cell r="Q180" t="str">
            <v>Belanja modal pengadaan alat-alat ukur</v>
          </cell>
        </row>
        <row r="181">
          <cell r="P181">
            <v>52319</v>
          </cell>
          <cell r="Q181" t="str">
            <v>Belanja modal pengadaan alat-alat kedokteran</v>
          </cell>
        </row>
        <row r="182">
          <cell r="P182">
            <v>52320</v>
          </cell>
          <cell r="Q182" t="str">
            <v>Belanja modal pengadaan alat-alat laboratorium</v>
          </cell>
        </row>
        <row r="183">
          <cell r="P183">
            <v>52321</v>
          </cell>
          <cell r="Q183" t="str">
            <v>Belanja modal pengadaan konstruksi jalan</v>
          </cell>
        </row>
        <row r="184">
          <cell r="P184">
            <v>52322</v>
          </cell>
          <cell r="Q184" t="str">
            <v>Belanja modal pengadaan konstruksi jembatan</v>
          </cell>
        </row>
        <row r="185">
          <cell r="P185">
            <v>52323</v>
          </cell>
          <cell r="Q185" t="str">
            <v>Belanja modal pengadaan konstruksi jaringan air</v>
          </cell>
        </row>
        <row r="186">
          <cell r="P186">
            <v>52324</v>
          </cell>
          <cell r="Q186" t="str">
            <v>Belanja modal pengadaan penerangan jalan, taman dan hutan</v>
          </cell>
        </row>
        <row r="187">
          <cell r="P187">
            <v>52325</v>
          </cell>
          <cell r="Q187" t="str">
            <v>Belanja modal pengadaan instalasi listrik dan telepon</v>
          </cell>
        </row>
        <row r="188">
          <cell r="P188">
            <v>52326</v>
          </cell>
          <cell r="Q188" t="str">
            <v>Belanja modal pengadaan konstruksi/pembelian bangunan</v>
          </cell>
        </row>
        <row r="189">
          <cell r="P189">
            <v>52327</v>
          </cell>
          <cell r="Q189" t="str">
            <v>Belanja modal pengadaan buku/perpustakaan</v>
          </cell>
        </row>
        <row r="190">
          <cell r="P190">
            <v>52328</v>
          </cell>
          <cell r="Q190" t="str">
            <v>Belanja modal pengadaan barang bercorak kesenian, kebudayaan</v>
          </cell>
        </row>
        <row r="191">
          <cell r="P191">
            <v>52329</v>
          </cell>
          <cell r="Q191" t="str">
            <v>Belanja modal pengadaan hewan/ternak dan tanaman</v>
          </cell>
        </row>
        <row r="192">
          <cell r="P192">
            <v>52330</v>
          </cell>
          <cell r="Q192" t="str">
            <v>Belanja modal pengadaan alat persenjataan/keamanan</v>
          </cell>
        </row>
        <row r="193">
          <cell r="P193">
            <v>52331</v>
          </cell>
          <cell r="Q193" t="str">
            <v>Belanja modal pengadaan konstruksi bangunan</v>
          </cell>
        </row>
        <row r="194">
          <cell r="P194">
            <v>52332</v>
          </cell>
          <cell r="Q194" t="str">
            <v>Belanja modal pengadaan rambu/plang petunjuk</v>
          </cell>
        </row>
        <row r="195">
          <cell r="P195">
            <v>52333</v>
          </cell>
          <cell r="Q195" t="str">
            <v>Belanja modal reklamasi</v>
          </cell>
        </row>
        <row r="196">
          <cell r="P196">
            <v>61101</v>
          </cell>
          <cell r="Q196" t="str">
            <v>Sisa Lebih Perhitungan Anggaran (SILPA) Tahun Anggaran Sebelumnya</v>
          </cell>
        </row>
        <row r="197">
          <cell r="P197">
            <v>61201</v>
          </cell>
          <cell r="Q197" t="str">
            <v xml:space="preserve"> Pencairan Dana Cadangan</v>
          </cell>
        </row>
        <row r="198">
          <cell r="P198">
            <v>61301</v>
          </cell>
          <cell r="Q198" t="str">
            <v>Hasil Penjualan Kekayaan Daerah Yang Dipisahkan</v>
          </cell>
        </row>
        <row r="199">
          <cell r="P199">
            <v>61401</v>
          </cell>
          <cell r="Q199" t="str">
            <v xml:space="preserve">Penerimaan Pinjaman Daerah </v>
          </cell>
        </row>
        <row r="200">
          <cell r="P200">
            <v>61501</v>
          </cell>
          <cell r="Q200" t="str">
            <v>Penerimaan Kembali Pemberian Pinjaman</v>
          </cell>
        </row>
        <row r="201">
          <cell r="P201">
            <v>61601</v>
          </cell>
          <cell r="Q201" t="str">
            <v>Penerimaan Piutang Daerah</v>
          </cell>
        </row>
        <row r="202">
          <cell r="P202">
            <v>62101</v>
          </cell>
          <cell r="Q202" t="str">
            <v>Pembentukan Dana Cadangan</v>
          </cell>
        </row>
        <row r="203">
          <cell r="P203">
            <v>62201</v>
          </cell>
          <cell r="Q203" t="str">
            <v>Penyertaan Modal (Investasi) Pemerintah Daerah</v>
          </cell>
        </row>
        <row r="204">
          <cell r="P204">
            <v>62301</v>
          </cell>
          <cell r="Q204" t="str">
            <v>Pembayaran pokok utang</v>
          </cell>
        </row>
        <row r="205">
          <cell r="P205">
            <v>62401</v>
          </cell>
          <cell r="Q205" t="str">
            <v>Pemberian pinjaman daerah</v>
          </cell>
        </row>
        <row r="206">
          <cell r="P206">
            <v>63001</v>
          </cell>
          <cell r="Q206" t="str">
            <v>Sisa Lebih Pembiayaan Anggaran Tahun Berkenaan</v>
          </cell>
        </row>
        <row r="207">
          <cell r="P207">
            <v>114071</v>
          </cell>
          <cell r="Q207" t="str">
            <v>Uang Muka Proyek</v>
          </cell>
        </row>
        <row r="208">
          <cell r="P208">
            <v>411061</v>
          </cell>
          <cell r="Q208" t="str">
            <v>Pajak air Bawah Tanah</v>
          </cell>
        </row>
        <row r="209">
          <cell r="P209">
            <v>414111</v>
          </cell>
          <cell r="Q209" t="str">
            <v>Fasilitas Umum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Lamp.(4)"/>
      <sheetName val="Lamp.(5)"/>
    </sheetNames>
    <sheetDataSet>
      <sheetData sheetId="0">
        <row r="1623">
          <cell r="H1623">
            <v>0</v>
          </cell>
        </row>
      </sheetData>
      <sheetData sheetId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PAJE"/>
      <sheetName val="WS"/>
      <sheetName val="AJE Persediaan  SEKOLAH"/>
      <sheetName val="PAJE Print"/>
      <sheetName val="Sheet1"/>
    </sheetNames>
    <sheetDataSet>
      <sheetData sheetId="0">
        <row r="41">
          <cell r="G41">
            <v>16005500</v>
          </cell>
        </row>
        <row r="77">
          <cell r="G77">
            <v>11900000</v>
          </cell>
        </row>
        <row r="110">
          <cell r="G110">
            <v>96732680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>
        <row r="23">
          <cell r="Q23">
            <v>32677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>
        <row r="23">
          <cell r="Q23">
            <v>16533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F0"/>
  </sheetPr>
  <dimension ref="A1:BT71"/>
  <sheetViews>
    <sheetView tabSelected="1" workbookViewId="0">
      <selection activeCell="H28" sqref="H28"/>
    </sheetView>
  </sheetViews>
  <sheetFormatPr defaultColWidth="9.140625" defaultRowHeight="12.75"/>
  <cols>
    <col min="1" max="1" width="6.140625" style="1456" customWidth="1"/>
    <col min="2" max="2" width="17.42578125" style="1456" customWidth="1"/>
    <col min="3" max="3" width="15.7109375" style="1456" customWidth="1"/>
    <col min="4" max="4" width="17" style="1456" customWidth="1"/>
    <col min="5" max="6" width="15.140625" style="1456" customWidth="1"/>
    <col min="7" max="7" width="14.140625" style="1456" customWidth="1"/>
    <col min="8" max="8" width="13.85546875" style="1456" customWidth="1"/>
    <col min="9" max="9" width="14.140625" style="1456" customWidth="1"/>
    <col min="10" max="10" width="14.42578125" style="1456" customWidth="1"/>
    <col min="11" max="12" width="14.28515625" style="1456" customWidth="1"/>
    <col min="13" max="13" width="14.85546875" style="1456" customWidth="1"/>
    <col min="14" max="14" width="15.28515625" style="1456" customWidth="1"/>
    <col min="15" max="15" width="15.7109375" style="1456" customWidth="1"/>
    <col min="16" max="17" width="15" style="1456" customWidth="1"/>
    <col min="18" max="18" width="14.85546875" style="1456" customWidth="1"/>
    <col min="19" max="19" width="9.140625" style="1457"/>
    <col min="20" max="20" width="19.140625" style="1457" customWidth="1"/>
    <col min="21" max="21" width="16.28515625" style="1457" customWidth="1"/>
    <col min="22" max="72" width="9.140625" style="1457"/>
    <col min="73" max="16384" width="9.140625" style="1456"/>
  </cols>
  <sheetData>
    <row r="1" spans="1:72" ht="15">
      <c r="A1" s="1951" t="s">
        <v>0</v>
      </c>
      <c r="B1" s="1951"/>
      <c r="C1" s="1951"/>
      <c r="D1" s="1951"/>
      <c r="E1" s="1951"/>
      <c r="F1" s="1951"/>
      <c r="G1" s="1951"/>
      <c r="H1" s="1951"/>
      <c r="I1" s="1951"/>
      <c r="J1" s="1951"/>
      <c r="K1" s="1951"/>
      <c r="L1" s="1951"/>
      <c r="M1" s="1951"/>
      <c r="N1" s="1951"/>
      <c r="O1" s="1951"/>
      <c r="P1" s="1951"/>
      <c r="Q1" s="1951"/>
      <c r="R1" s="1951"/>
    </row>
    <row r="2" spans="1:72" ht="15">
      <c r="A2" s="1951" t="s">
        <v>1</v>
      </c>
      <c r="B2" s="1951"/>
      <c r="C2" s="1951"/>
      <c r="D2" s="1951"/>
      <c r="E2" s="1951"/>
      <c r="F2" s="1951"/>
      <c r="G2" s="1951"/>
      <c r="H2" s="1951"/>
      <c r="I2" s="1951"/>
      <c r="J2" s="1951"/>
      <c r="K2" s="1951"/>
      <c r="L2" s="1951"/>
      <c r="M2" s="1951"/>
      <c r="N2" s="1951"/>
      <c r="O2" s="1951"/>
      <c r="P2" s="1951"/>
      <c r="Q2" s="1951"/>
      <c r="R2" s="1951"/>
      <c r="T2" s="1487"/>
    </row>
    <row r="3" spans="1:72" ht="15">
      <c r="A3" s="1951" t="s">
        <v>2</v>
      </c>
      <c r="B3" s="1951"/>
      <c r="C3" s="1951"/>
      <c r="D3" s="1951"/>
      <c r="E3" s="1951"/>
      <c r="F3" s="1951"/>
      <c r="G3" s="1951"/>
      <c r="H3" s="1951"/>
      <c r="I3" s="1951"/>
      <c r="J3" s="1951"/>
      <c r="K3" s="1951"/>
      <c r="L3" s="1951"/>
      <c r="M3" s="1951"/>
      <c r="N3" s="1951"/>
      <c r="O3" s="1951"/>
      <c r="P3" s="1951"/>
      <c r="Q3" s="1951"/>
      <c r="R3" s="1951"/>
      <c r="T3" s="1487"/>
    </row>
    <row r="4" spans="1:72">
      <c r="A4" s="1458"/>
      <c r="B4" s="1458"/>
      <c r="C4" s="1458"/>
      <c r="D4" s="1458"/>
      <c r="E4" s="1458"/>
      <c r="F4" s="1458"/>
      <c r="G4" s="1458"/>
      <c r="H4" s="1458"/>
      <c r="I4" s="1458"/>
      <c r="J4" s="1458"/>
      <c r="K4" s="1458"/>
      <c r="L4" s="1458"/>
      <c r="M4" s="1458"/>
      <c r="N4" s="1458"/>
      <c r="O4" s="1458"/>
      <c r="P4" s="1485"/>
      <c r="Q4" s="1488"/>
      <c r="R4" s="459" t="s">
        <v>3</v>
      </c>
    </row>
    <row r="5" spans="1:72" s="1455" customFormat="1">
      <c r="A5" s="1952" t="s">
        <v>4</v>
      </c>
      <c r="B5" s="1952" t="s">
        <v>5</v>
      </c>
      <c r="C5" s="1952" t="s">
        <v>6</v>
      </c>
      <c r="D5" s="1952" t="s">
        <v>7</v>
      </c>
      <c r="E5" s="1952" t="s">
        <v>8</v>
      </c>
      <c r="F5" s="1952"/>
      <c r="G5" s="1952"/>
      <c r="H5" s="1952"/>
      <c r="I5" s="1952"/>
      <c r="J5" s="1952"/>
      <c r="K5" s="1952"/>
      <c r="L5" s="1952"/>
      <c r="M5" s="1952"/>
      <c r="N5" s="1952"/>
      <c r="O5" s="1952"/>
      <c r="P5" s="1952"/>
      <c r="Q5" s="1952" t="s">
        <v>9</v>
      </c>
      <c r="R5" s="1952" t="s">
        <v>10</v>
      </c>
      <c r="S5" s="1457"/>
      <c r="T5" s="1950"/>
      <c r="U5" s="1950"/>
      <c r="V5" s="1457"/>
      <c r="W5" s="1457"/>
      <c r="X5" s="1457"/>
      <c r="Y5" s="1457"/>
      <c r="Z5" s="1457"/>
      <c r="AA5" s="1457"/>
      <c r="AB5" s="1457"/>
      <c r="AC5" s="1457"/>
      <c r="AD5" s="1457"/>
      <c r="AE5" s="1457"/>
      <c r="AF5" s="1457"/>
      <c r="AG5" s="1457"/>
      <c r="AH5" s="1457"/>
      <c r="AI5" s="1457"/>
      <c r="AJ5" s="1457"/>
      <c r="AK5" s="1457"/>
      <c r="AL5" s="1457"/>
      <c r="AM5" s="1457"/>
      <c r="AN5" s="1457"/>
      <c r="AO5" s="1457"/>
      <c r="AP5" s="1457"/>
      <c r="AQ5" s="1457"/>
      <c r="AR5" s="1457"/>
      <c r="AS5" s="1457"/>
      <c r="AT5" s="1457"/>
      <c r="AU5" s="1457"/>
      <c r="AV5" s="1457"/>
      <c r="AW5" s="1457"/>
      <c r="AX5" s="1457"/>
      <c r="AY5" s="1457"/>
      <c r="AZ5" s="1457"/>
      <c r="BA5" s="1457"/>
      <c r="BB5" s="1457"/>
      <c r="BC5" s="1457"/>
      <c r="BD5" s="1457"/>
      <c r="BE5" s="1457"/>
      <c r="BF5" s="1457"/>
      <c r="BG5" s="1457"/>
      <c r="BH5" s="1457"/>
      <c r="BI5" s="1457"/>
      <c r="BJ5" s="1457"/>
      <c r="BK5" s="1457"/>
      <c r="BL5" s="1457"/>
      <c r="BM5" s="1457"/>
      <c r="BN5" s="1457"/>
      <c r="BO5" s="1457"/>
      <c r="BP5" s="1457"/>
      <c r="BQ5" s="1457"/>
      <c r="BR5" s="1457"/>
      <c r="BS5" s="1457"/>
      <c r="BT5" s="1457"/>
    </row>
    <row r="6" spans="1:72" s="1455" customFormat="1">
      <c r="A6" s="1953"/>
      <c r="B6" s="1953"/>
      <c r="C6" s="1953"/>
      <c r="D6" s="1953"/>
      <c r="E6" s="1459" t="s">
        <v>11</v>
      </c>
      <c r="F6" s="1459" t="s">
        <v>12</v>
      </c>
      <c r="G6" s="1459" t="s">
        <v>13</v>
      </c>
      <c r="H6" s="1459" t="s">
        <v>14</v>
      </c>
      <c r="I6" s="1459" t="s">
        <v>15</v>
      </c>
      <c r="J6" s="1459" t="s">
        <v>16</v>
      </c>
      <c r="K6" s="1459" t="s">
        <v>17</v>
      </c>
      <c r="L6" s="1459" t="s">
        <v>18</v>
      </c>
      <c r="M6" s="1459" t="s">
        <v>19</v>
      </c>
      <c r="N6" s="1459" t="s">
        <v>20</v>
      </c>
      <c r="O6" s="1459" t="s">
        <v>21</v>
      </c>
      <c r="P6" s="1459" t="s">
        <v>22</v>
      </c>
      <c r="Q6" s="1953"/>
      <c r="R6" s="1953"/>
      <c r="S6" s="1457"/>
      <c r="T6" s="1950"/>
      <c r="U6" s="1950"/>
      <c r="V6" s="1457"/>
      <c r="W6" s="1457"/>
      <c r="X6" s="1457"/>
      <c r="Y6" s="1457"/>
      <c r="Z6" s="1457"/>
      <c r="AA6" s="1457"/>
      <c r="AB6" s="1457"/>
      <c r="AC6" s="1457"/>
      <c r="AD6" s="1457"/>
      <c r="AE6" s="1457"/>
      <c r="AF6" s="1457"/>
      <c r="AG6" s="1457"/>
      <c r="AH6" s="1457"/>
      <c r="AI6" s="1457"/>
      <c r="AJ6" s="1457"/>
      <c r="AK6" s="1457"/>
      <c r="AL6" s="1457"/>
      <c r="AM6" s="1457"/>
      <c r="AN6" s="1457"/>
      <c r="AO6" s="1457"/>
      <c r="AP6" s="1457"/>
      <c r="AQ6" s="1457"/>
      <c r="AR6" s="1457"/>
      <c r="AS6" s="1457"/>
      <c r="AT6" s="1457"/>
      <c r="AU6" s="1457"/>
      <c r="AV6" s="1457"/>
      <c r="AW6" s="1457"/>
      <c r="AX6" s="1457"/>
      <c r="AY6" s="1457"/>
      <c r="AZ6" s="1457"/>
      <c r="BA6" s="1457"/>
      <c r="BB6" s="1457"/>
      <c r="BC6" s="1457"/>
      <c r="BD6" s="1457"/>
      <c r="BE6" s="1457"/>
      <c r="BF6" s="1457"/>
      <c r="BG6" s="1457"/>
      <c r="BH6" s="1457"/>
      <c r="BI6" s="1457"/>
      <c r="BJ6" s="1457"/>
      <c r="BK6" s="1457"/>
      <c r="BL6" s="1457"/>
      <c r="BM6" s="1457"/>
      <c r="BN6" s="1457"/>
      <c r="BO6" s="1457"/>
      <c r="BP6" s="1457"/>
      <c r="BQ6" s="1457"/>
      <c r="BR6" s="1457"/>
      <c r="BS6" s="1457"/>
      <c r="BT6" s="1457"/>
    </row>
    <row r="7" spans="1:72">
      <c r="A7" s="1460"/>
      <c r="B7" s="1461"/>
      <c r="C7" s="1461"/>
      <c r="D7" s="1461"/>
      <c r="E7" s="1461"/>
      <c r="F7" s="1461"/>
      <c r="G7" s="1461"/>
      <c r="H7" s="1461"/>
      <c r="I7" s="1461"/>
      <c r="J7" s="1461"/>
      <c r="K7" s="1461"/>
      <c r="L7" s="1461"/>
      <c r="M7" s="1461"/>
      <c r="N7" s="1461"/>
      <c r="O7" s="1461"/>
      <c r="P7" s="1461"/>
      <c r="Q7" s="1461"/>
      <c r="R7" s="1461"/>
    </row>
    <row r="8" spans="1:72">
      <c r="A8" s="1462" t="s">
        <v>23</v>
      </c>
      <c r="B8" s="1463" t="s">
        <v>24</v>
      </c>
      <c r="C8" s="1463"/>
      <c r="D8" s="1464">
        <f t="shared" ref="D8:R8" si="0">+D10+D20+D43</f>
        <v>16238195604.870001</v>
      </c>
      <c r="E8" s="1464">
        <f t="shared" si="0"/>
        <v>239732467</v>
      </c>
      <c r="F8" s="1464">
        <f t="shared" si="0"/>
        <v>327729539</v>
      </c>
      <c r="G8" s="1464">
        <f t="shared" si="0"/>
        <v>610570387</v>
      </c>
      <c r="H8" s="1464">
        <f t="shared" si="0"/>
        <v>702229825</v>
      </c>
      <c r="I8" s="1464">
        <f t="shared" si="0"/>
        <v>655595012</v>
      </c>
      <c r="J8" s="1464">
        <f t="shared" si="0"/>
        <v>237031292</v>
      </c>
      <c r="K8" s="1464">
        <f t="shared" si="0"/>
        <v>820317818</v>
      </c>
      <c r="L8" s="1464">
        <f t="shared" si="0"/>
        <v>1108089050</v>
      </c>
      <c r="M8" s="1464">
        <f t="shared" si="0"/>
        <v>354740798</v>
      </c>
      <c r="N8" s="1464">
        <f t="shared" si="0"/>
        <v>501123039</v>
      </c>
      <c r="O8" s="1464">
        <f t="shared" si="0"/>
        <v>297608944</v>
      </c>
      <c r="P8" s="1464">
        <f t="shared" si="0"/>
        <v>1389492186</v>
      </c>
      <c r="Q8" s="1464">
        <f t="shared" si="0"/>
        <v>7613352047</v>
      </c>
      <c r="R8" s="1464">
        <f t="shared" si="0"/>
        <v>8352019428.8699999</v>
      </c>
      <c r="T8" s="1489"/>
    </row>
    <row r="9" spans="1:72">
      <c r="A9" s="1465"/>
      <c r="B9" s="1466"/>
      <c r="C9" s="1466"/>
      <c r="D9" s="1466"/>
      <c r="E9" s="1466"/>
      <c r="F9" s="1466"/>
      <c r="G9" s="1466"/>
      <c r="H9" s="1466"/>
      <c r="I9" s="1466"/>
      <c r="J9" s="1466"/>
      <c r="K9" s="1466"/>
      <c r="L9" s="1466"/>
      <c r="M9" s="1466"/>
      <c r="N9" s="1466"/>
      <c r="O9" s="1466"/>
      <c r="P9" s="1466"/>
      <c r="Q9" s="1466"/>
      <c r="R9" s="1466"/>
    </row>
    <row r="10" spans="1:72">
      <c r="A10" s="1467" t="s">
        <v>25</v>
      </c>
      <c r="B10" s="1468" t="s">
        <v>26</v>
      </c>
      <c r="C10" s="1469"/>
      <c r="D10" s="1470">
        <f t="shared" ref="D10:R10" si="1">+D11+D14+D17</f>
        <v>11007807662</v>
      </c>
      <c r="E10" s="1470">
        <f t="shared" si="1"/>
        <v>71267000</v>
      </c>
      <c r="F10" s="1470">
        <f t="shared" si="1"/>
        <v>244253500</v>
      </c>
      <c r="G10" s="1470">
        <f t="shared" si="1"/>
        <v>401732000</v>
      </c>
      <c r="H10" s="1470">
        <f t="shared" si="1"/>
        <v>314781500</v>
      </c>
      <c r="I10" s="1470">
        <f t="shared" si="1"/>
        <v>165741000</v>
      </c>
      <c r="J10" s="1470">
        <f t="shared" si="1"/>
        <v>58744500</v>
      </c>
      <c r="K10" s="1470">
        <f t="shared" si="1"/>
        <v>330434500</v>
      </c>
      <c r="L10" s="1470">
        <f t="shared" si="1"/>
        <v>487393500</v>
      </c>
      <c r="M10" s="1470">
        <f t="shared" si="1"/>
        <v>81143500</v>
      </c>
      <c r="N10" s="1470">
        <f t="shared" si="1"/>
        <v>99920500</v>
      </c>
      <c r="O10" s="1470">
        <f t="shared" si="1"/>
        <v>167644000</v>
      </c>
      <c r="P10" s="1470">
        <f t="shared" si="1"/>
        <v>398356000</v>
      </c>
      <c r="Q10" s="1470">
        <f t="shared" si="1"/>
        <v>2826051500</v>
      </c>
      <c r="R10" s="1470">
        <f t="shared" si="1"/>
        <v>8186396162</v>
      </c>
    </row>
    <row r="11" spans="1:72" ht="22.5">
      <c r="A11" s="1467">
        <v>1</v>
      </c>
      <c r="B11" s="1471" t="s">
        <v>27</v>
      </c>
      <c r="C11" s="1467"/>
      <c r="D11" s="1470">
        <f t="shared" ref="D11:P11" si="2">SUM(D12:D12)</f>
        <v>460807662</v>
      </c>
      <c r="E11" s="1470">
        <f t="shared" si="2"/>
        <v>15267000</v>
      </c>
      <c r="F11" s="1470">
        <f t="shared" si="2"/>
        <v>17733500</v>
      </c>
      <c r="G11" s="1470">
        <f t="shared" si="2"/>
        <v>22592000</v>
      </c>
      <c r="H11" s="1470">
        <f t="shared" si="2"/>
        <v>29411500</v>
      </c>
      <c r="I11" s="1470">
        <f t="shared" si="2"/>
        <v>33741000</v>
      </c>
      <c r="J11" s="1470">
        <f t="shared" si="2"/>
        <v>51744500</v>
      </c>
      <c r="K11" s="1470">
        <f t="shared" si="2"/>
        <v>28559500</v>
      </c>
      <c r="L11" s="1470">
        <f t="shared" si="2"/>
        <v>36393500</v>
      </c>
      <c r="M11" s="1470">
        <f t="shared" si="2"/>
        <v>41143500</v>
      </c>
      <c r="N11" s="1470">
        <f t="shared" si="2"/>
        <v>58920500</v>
      </c>
      <c r="O11" s="1470">
        <f t="shared" si="2"/>
        <v>103644000</v>
      </c>
      <c r="P11" s="1470">
        <f t="shared" si="2"/>
        <v>74981000</v>
      </c>
      <c r="Q11" s="1470">
        <f>SUM(Q12:Q13)</f>
        <v>518771500</v>
      </c>
      <c r="R11" s="1470">
        <f>SUM(R12:R12)</f>
        <v>-53323838</v>
      </c>
    </row>
    <row r="12" spans="1:72">
      <c r="A12" s="1472" t="s">
        <v>28</v>
      </c>
      <c r="B12" s="1473"/>
      <c r="C12" s="1472" t="s">
        <v>29</v>
      </c>
      <c r="D12" s="1474">
        <v>460807662</v>
      </c>
      <c r="E12" s="1474">
        <v>15267000</v>
      </c>
      <c r="F12" s="1474">
        <v>17733500</v>
      </c>
      <c r="G12" s="1474">
        <v>22592000</v>
      </c>
      <c r="H12" s="1474">
        <v>29411500</v>
      </c>
      <c r="I12" s="1474">
        <v>33741000</v>
      </c>
      <c r="J12" s="1474">
        <v>51744500</v>
      </c>
      <c r="K12" s="1474">
        <v>28559500</v>
      </c>
      <c r="L12" s="1474">
        <v>36393500</v>
      </c>
      <c r="M12" s="1474">
        <v>41143500</v>
      </c>
      <c r="N12" s="1474">
        <v>58920500</v>
      </c>
      <c r="O12" s="1474">
        <v>103644000</v>
      </c>
      <c r="P12" s="1474">
        <v>74981000</v>
      </c>
      <c r="Q12" s="1474">
        <f>SUM(E12:P12)</f>
        <v>514131500</v>
      </c>
      <c r="R12" s="1474">
        <f>+D12-Q12</f>
        <v>-53323838</v>
      </c>
      <c r="T12" s="1490"/>
      <c r="U12" s="1490"/>
    </row>
    <row r="13" spans="1:72" ht="22.5">
      <c r="A13" s="1472" t="s">
        <v>30</v>
      </c>
      <c r="B13" s="1473"/>
      <c r="C13" s="1475" t="s">
        <v>31</v>
      </c>
      <c r="D13" s="1474">
        <v>200000000</v>
      </c>
      <c r="E13" s="1474">
        <v>0</v>
      </c>
      <c r="F13" s="1474">
        <v>0</v>
      </c>
      <c r="G13" s="1474">
        <v>0</v>
      </c>
      <c r="H13" s="1474">
        <v>0</v>
      </c>
      <c r="I13" s="1474">
        <v>0</v>
      </c>
      <c r="J13" s="1474">
        <v>0</v>
      </c>
      <c r="K13" s="1474">
        <v>0</v>
      </c>
      <c r="L13" s="1474">
        <v>0</v>
      </c>
      <c r="M13" s="1474">
        <v>0</v>
      </c>
      <c r="N13" s="1474">
        <v>0</v>
      </c>
      <c r="O13" s="1474">
        <v>0</v>
      </c>
      <c r="P13" s="1474">
        <v>4640000</v>
      </c>
      <c r="Q13" s="1474">
        <f>SUM(E13:P13)</f>
        <v>4640000</v>
      </c>
      <c r="R13" s="1476"/>
      <c r="T13" s="1490"/>
      <c r="U13" s="1490"/>
    </row>
    <row r="14" spans="1:72" ht="33.75">
      <c r="A14" s="1467">
        <v>2</v>
      </c>
      <c r="B14" s="1468" t="s">
        <v>32</v>
      </c>
      <c r="C14" s="1467"/>
      <c r="D14" s="1470">
        <f t="shared" ref="D14:R14" si="3">+D15</f>
        <v>9700000000</v>
      </c>
      <c r="E14" s="1470">
        <f t="shared" si="3"/>
        <v>56000000</v>
      </c>
      <c r="F14" s="1470">
        <f t="shared" si="3"/>
        <v>92000000</v>
      </c>
      <c r="G14" s="1470">
        <f t="shared" si="3"/>
        <v>15000000</v>
      </c>
      <c r="H14" s="1470">
        <f t="shared" si="3"/>
        <v>18000000</v>
      </c>
      <c r="I14" s="1470">
        <f t="shared" si="3"/>
        <v>132000000</v>
      </c>
      <c r="J14" s="1470">
        <f t="shared" si="3"/>
        <v>7000000</v>
      </c>
      <c r="K14" s="1470">
        <f t="shared" si="3"/>
        <v>147000000</v>
      </c>
      <c r="L14" s="1470">
        <f t="shared" si="3"/>
        <v>97000000</v>
      </c>
      <c r="M14" s="1470">
        <f t="shared" si="3"/>
        <v>40000000</v>
      </c>
      <c r="N14" s="1470">
        <f t="shared" si="3"/>
        <v>41000000</v>
      </c>
      <c r="O14" s="1470">
        <f t="shared" si="3"/>
        <v>64000000</v>
      </c>
      <c r="P14" s="1470">
        <f t="shared" si="3"/>
        <v>80000000</v>
      </c>
      <c r="Q14" s="1470">
        <f t="shared" si="3"/>
        <v>789000000</v>
      </c>
      <c r="R14" s="1470">
        <f t="shared" si="3"/>
        <v>8911000000</v>
      </c>
      <c r="T14" s="1490"/>
      <c r="U14" s="1490"/>
    </row>
    <row r="15" spans="1:72">
      <c r="A15" s="1472" t="s">
        <v>33</v>
      </c>
      <c r="B15" s="1473"/>
      <c r="C15" s="1467" t="s">
        <v>34</v>
      </c>
      <c r="D15" s="1474">
        <v>9700000000</v>
      </c>
      <c r="E15" s="1474">
        <v>56000000</v>
      </c>
      <c r="F15" s="1474">
        <v>92000000</v>
      </c>
      <c r="G15" s="1474">
        <v>15000000</v>
      </c>
      <c r="H15" s="1474">
        <v>18000000</v>
      </c>
      <c r="I15" s="1474">
        <v>132000000</v>
      </c>
      <c r="J15" s="1474">
        <v>7000000</v>
      </c>
      <c r="K15" s="1474">
        <v>147000000</v>
      </c>
      <c r="L15" s="1474">
        <v>97000000</v>
      </c>
      <c r="M15" s="1474">
        <v>40000000</v>
      </c>
      <c r="N15" s="1474">
        <v>41000000</v>
      </c>
      <c r="O15" s="1474">
        <v>64000000</v>
      </c>
      <c r="P15" s="1474">
        <v>80000000</v>
      </c>
      <c r="Q15" s="1474">
        <f>SUM(E15:P15)</f>
        <v>789000000</v>
      </c>
      <c r="R15" s="1474">
        <f>+D15-Q15</f>
        <v>8911000000</v>
      </c>
      <c r="T15" s="1490"/>
      <c r="U15" s="1490"/>
    </row>
    <row r="16" spans="1:72">
      <c r="A16" s="1472"/>
      <c r="B16" s="1473"/>
      <c r="C16" s="1472"/>
      <c r="D16" s="1474"/>
      <c r="E16" s="1474"/>
      <c r="F16" s="1474"/>
      <c r="G16" s="1474"/>
      <c r="H16" s="1474"/>
      <c r="I16" s="1474"/>
      <c r="J16" s="1474"/>
      <c r="K16" s="1474"/>
      <c r="L16" s="1474"/>
      <c r="M16" s="1474"/>
      <c r="N16" s="1474"/>
      <c r="O16" s="1474"/>
      <c r="P16" s="1474"/>
      <c r="Q16" s="1474"/>
      <c r="R16" s="1474"/>
      <c r="T16" s="1490"/>
      <c r="U16" s="1490"/>
    </row>
    <row r="17" spans="1:21" ht="22.5">
      <c r="A17" s="1467">
        <v>3</v>
      </c>
      <c r="B17" s="1471" t="s">
        <v>35</v>
      </c>
      <c r="C17" s="1467"/>
      <c r="D17" s="1470">
        <f t="shared" ref="D17:R17" si="4">+D18</f>
        <v>847000000</v>
      </c>
      <c r="E17" s="1470">
        <f t="shared" si="4"/>
        <v>0</v>
      </c>
      <c r="F17" s="1470">
        <f t="shared" si="4"/>
        <v>134520000</v>
      </c>
      <c r="G17" s="1470">
        <f t="shared" si="4"/>
        <v>364140000</v>
      </c>
      <c r="H17" s="1470">
        <f t="shared" si="4"/>
        <v>267370000</v>
      </c>
      <c r="I17" s="1470">
        <f t="shared" si="4"/>
        <v>0</v>
      </c>
      <c r="J17" s="1470">
        <f t="shared" si="4"/>
        <v>0</v>
      </c>
      <c r="K17" s="1470">
        <f t="shared" si="4"/>
        <v>154875000</v>
      </c>
      <c r="L17" s="1470">
        <f t="shared" si="4"/>
        <v>354000000</v>
      </c>
      <c r="M17" s="1470">
        <f t="shared" si="4"/>
        <v>0</v>
      </c>
      <c r="N17" s="1470">
        <f t="shared" si="4"/>
        <v>0</v>
      </c>
      <c r="O17" s="1470">
        <f t="shared" si="4"/>
        <v>0</v>
      </c>
      <c r="P17" s="1470">
        <f t="shared" si="4"/>
        <v>243375000</v>
      </c>
      <c r="Q17" s="1470">
        <f t="shared" si="4"/>
        <v>1518280000</v>
      </c>
      <c r="R17" s="1470">
        <f t="shared" si="4"/>
        <v>-671280000</v>
      </c>
      <c r="T17" s="1490"/>
      <c r="U17" s="1490"/>
    </row>
    <row r="18" spans="1:21" ht="33.75">
      <c r="A18" s="1472" t="s">
        <v>33</v>
      </c>
      <c r="B18" s="1473"/>
      <c r="C18" s="1472" t="s">
        <v>36</v>
      </c>
      <c r="D18" s="1474">
        <v>847000000</v>
      </c>
      <c r="E18" s="1474">
        <v>0</v>
      </c>
      <c r="F18" s="1474">
        <v>134520000</v>
      </c>
      <c r="G18" s="1474">
        <v>364140000</v>
      </c>
      <c r="H18" s="1474">
        <v>267370000</v>
      </c>
      <c r="I18" s="1474">
        <v>0</v>
      </c>
      <c r="J18" s="1474">
        <v>0</v>
      </c>
      <c r="K18" s="1474">
        <v>154875000</v>
      </c>
      <c r="L18" s="1474">
        <v>354000000</v>
      </c>
      <c r="M18" s="1474">
        <v>0</v>
      </c>
      <c r="N18" s="1474">
        <v>0</v>
      </c>
      <c r="O18" s="1474">
        <v>0</v>
      </c>
      <c r="P18" s="1474">
        <v>243375000</v>
      </c>
      <c r="Q18" s="1474">
        <f>SUM(E18:P18)</f>
        <v>1518280000</v>
      </c>
      <c r="R18" s="1474">
        <f>+D18-Q18</f>
        <v>-671280000</v>
      </c>
      <c r="T18" s="1490"/>
      <c r="U18" s="1490"/>
    </row>
    <row r="19" spans="1:21">
      <c r="A19" s="1472"/>
      <c r="B19" s="1473"/>
      <c r="C19" s="1475"/>
      <c r="D19" s="1474"/>
      <c r="E19" s="1474"/>
      <c r="F19" s="1474"/>
      <c r="G19" s="1474"/>
      <c r="H19" s="1474"/>
      <c r="I19" s="1474"/>
      <c r="J19" s="1474"/>
      <c r="K19" s="1474"/>
      <c r="L19" s="1474"/>
      <c r="M19" s="1474"/>
      <c r="N19" s="1474"/>
      <c r="O19" s="1474"/>
      <c r="P19" s="1474"/>
      <c r="Q19" s="1474"/>
      <c r="R19" s="1474"/>
      <c r="T19" s="1490"/>
      <c r="U19" s="1490"/>
    </row>
    <row r="20" spans="1:21">
      <c r="A20" s="1467" t="s">
        <v>37</v>
      </c>
      <c r="B20" s="1468" t="s">
        <v>38</v>
      </c>
      <c r="C20" s="1467"/>
      <c r="D20" s="1470">
        <f t="shared" ref="D20:R20" si="5">+D21+D33+D37+D40</f>
        <v>4040387942.8699999</v>
      </c>
      <c r="E20" s="1470">
        <f t="shared" si="5"/>
        <v>161939180</v>
      </c>
      <c r="F20" s="1470">
        <f t="shared" si="5"/>
        <v>68810350</v>
      </c>
      <c r="G20" s="1470">
        <f t="shared" si="5"/>
        <v>133436042</v>
      </c>
      <c r="H20" s="1470">
        <f t="shared" si="5"/>
        <v>353646300</v>
      </c>
      <c r="I20" s="1470">
        <f t="shared" si="5"/>
        <v>472583150</v>
      </c>
      <c r="J20" s="1470">
        <f t="shared" si="5"/>
        <v>154691850</v>
      </c>
      <c r="K20" s="1470">
        <f t="shared" si="5"/>
        <v>244007052</v>
      </c>
      <c r="L20" s="1470">
        <f t="shared" si="5"/>
        <v>324937550</v>
      </c>
      <c r="M20" s="1470">
        <f t="shared" si="5"/>
        <v>264859600</v>
      </c>
      <c r="N20" s="1470">
        <f t="shared" si="5"/>
        <v>392091882</v>
      </c>
      <c r="O20" s="1470">
        <f t="shared" si="5"/>
        <v>100664500</v>
      </c>
      <c r="P20" s="1470">
        <f t="shared" si="5"/>
        <v>974292825</v>
      </c>
      <c r="Q20" s="1470">
        <f t="shared" si="5"/>
        <v>4010411971</v>
      </c>
      <c r="R20" s="1470">
        <f t="shared" si="5"/>
        <v>-247488157.13</v>
      </c>
      <c r="T20" s="1490"/>
      <c r="U20" s="1490"/>
    </row>
    <row r="21" spans="1:21" ht="22.5">
      <c r="A21" s="1467">
        <v>1</v>
      </c>
      <c r="B21" s="1468" t="s">
        <v>39</v>
      </c>
      <c r="C21" s="1467"/>
      <c r="D21" s="1470">
        <f>SUM(D22:D32)</f>
        <v>3385387942.8699999</v>
      </c>
      <c r="E21" s="1470">
        <f t="shared" ref="E21:N21" si="6">SUM(E22:E31)</f>
        <v>96105180</v>
      </c>
      <c r="F21" s="1470">
        <f t="shared" si="6"/>
        <v>62380350</v>
      </c>
      <c r="G21" s="1470">
        <f t="shared" si="6"/>
        <v>125276042</v>
      </c>
      <c r="H21" s="1470">
        <f t="shared" si="6"/>
        <v>341099300</v>
      </c>
      <c r="I21" s="1470">
        <f t="shared" si="6"/>
        <v>465813150</v>
      </c>
      <c r="J21" s="1470">
        <f t="shared" si="6"/>
        <v>151401850</v>
      </c>
      <c r="K21" s="1470">
        <f t="shared" si="6"/>
        <v>232567052</v>
      </c>
      <c r="L21" s="1470">
        <f t="shared" si="6"/>
        <v>268502550</v>
      </c>
      <c r="M21" s="1470">
        <f t="shared" si="6"/>
        <v>222369600</v>
      </c>
      <c r="N21" s="1470">
        <f t="shared" si="6"/>
        <v>365591882</v>
      </c>
      <c r="O21" s="1470">
        <v>0</v>
      </c>
      <c r="P21" s="1470">
        <f>SUM(P22:P31)</f>
        <v>875409825</v>
      </c>
      <c r="Q21" s="1470">
        <f>SUM(Q22:Q32)</f>
        <v>3570968471</v>
      </c>
      <c r="R21" s="1470">
        <f>SUM(R22:R28)</f>
        <v>-463044657.13</v>
      </c>
      <c r="T21" s="1490"/>
      <c r="U21" s="1490"/>
    </row>
    <row r="22" spans="1:21" ht="33.75">
      <c r="A22" s="1472" t="s">
        <v>33</v>
      </c>
      <c r="B22" s="1473"/>
      <c r="C22" s="1472" t="s">
        <v>36</v>
      </c>
      <c r="D22" s="1476">
        <v>575387942.87</v>
      </c>
      <c r="E22" s="1474">
        <v>8500000</v>
      </c>
      <c r="F22" s="1474">
        <v>3125000</v>
      </c>
      <c r="G22" s="1474">
        <v>32597500</v>
      </c>
      <c r="H22" s="1474">
        <v>31975000</v>
      </c>
      <c r="I22" s="1474">
        <v>162825000</v>
      </c>
      <c r="J22" s="1474">
        <v>0</v>
      </c>
      <c r="K22" s="1474">
        <v>5000000</v>
      </c>
      <c r="L22" s="1474">
        <v>391000</v>
      </c>
      <c r="M22" s="1474">
        <v>34650000</v>
      </c>
      <c r="N22" s="1474">
        <v>149975000</v>
      </c>
      <c r="O22" s="1474">
        <v>128125000</v>
      </c>
      <c r="P22" s="1474">
        <v>414775000</v>
      </c>
      <c r="Q22" s="1474">
        <f t="shared" ref="Q22:Q31" si="7">SUM(E22:P22)</f>
        <v>971938500</v>
      </c>
      <c r="R22" s="1474">
        <f t="shared" ref="R22:R32" si="8">+D22-Q22</f>
        <v>-396550557.13</v>
      </c>
      <c r="T22" s="1490"/>
      <c r="U22" s="1490"/>
    </row>
    <row r="23" spans="1:21">
      <c r="A23" s="1472" t="s">
        <v>28</v>
      </c>
      <c r="B23" s="1473"/>
      <c r="C23" s="1475" t="s">
        <v>40</v>
      </c>
      <c r="D23" s="1476">
        <v>500000000</v>
      </c>
      <c r="E23" s="1474">
        <v>9540000</v>
      </c>
      <c r="F23" s="1474">
        <v>7018000</v>
      </c>
      <c r="G23" s="1474">
        <v>20770000</v>
      </c>
      <c r="H23" s="1474">
        <v>105970000</v>
      </c>
      <c r="I23" s="1474">
        <v>77495000</v>
      </c>
      <c r="J23" s="1474">
        <v>82480000</v>
      </c>
      <c r="K23" s="1474">
        <v>84714000</v>
      </c>
      <c r="L23" s="1474">
        <v>80540000</v>
      </c>
      <c r="M23" s="1474">
        <v>67340000</v>
      </c>
      <c r="N23" s="1474">
        <v>6701000</v>
      </c>
      <c r="O23" s="1474">
        <v>8463000</v>
      </c>
      <c r="P23" s="1474">
        <v>29356000</v>
      </c>
      <c r="Q23" s="1474">
        <f t="shared" si="7"/>
        <v>580387000</v>
      </c>
      <c r="R23" s="1474">
        <f t="shared" si="8"/>
        <v>-80387000</v>
      </c>
      <c r="T23" s="1490"/>
      <c r="U23" s="1490"/>
    </row>
    <row r="24" spans="1:21">
      <c r="A24" s="1472" t="s">
        <v>41</v>
      </c>
      <c r="B24" s="1473"/>
      <c r="C24" s="1475" t="s">
        <v>42</v>
      </c>
      <c r="D24" s="1476">
        <v>125000000</v>
      </c>
      <c r="E24" s="1474">
        <v>1900000</v>
      </c>
      <c r="F24" s="1474">
        <v>1900000</v>
      </c>
      <c r="G24" s="1474">
        <v>1900000</v>
      </c>
      <c r="H24" s="1474">
        <v>1900000</v>
      </c>
      <c r="I24" s="1474">
        <v>400000</v>
      </c>
      <c r="J24" s="1474">
        <v>3400000</v>
      </c>
      <c r="K24" s="1474">
        <v>1900000</v>
      </c>
      <c r="L24" s="1474">
        <v>1900000</v>
      </c>
      <c r="M24" s="1474">
        <v>7700000</v>
      </c>
      <c r="N24" s="1474">
        <v>17700000</v>
      </c>
      <c r="O24" s="1474">
        <v>2700000</v>
      </c>
      <c r="P24" s="1474">
        <v>2700000</v>
      </c>
      <c r="Q24" s="1474">
        <f t="shared" si="7"/>
        <v>46000000</v>
      </c>
      <c r="R24" s="1474">
        <f t="shared" si="8"/>
        <v>79000000</v>
      </c>
      <c r="T24" s="1490"/>
      <c r="U24" s="1490"/>
    </row>
    <row r="25" spans="1:21">
      <c r="A25" s="1477" t="s">
        <v>43</v>
      </c>
      <c r="B25" s="1473"/>
      <c r="C25" s="1475" t="s">
        <v>44</v>
      </c>
      <c r="D25" s="1476">
        <v>275000000</v>
      </c>
      <c r="E25" s="1474">
        <v>5280000</v>
      </c>
      <c r="F25" s="1474">
        <v>4635000</v>
      </c>
      <c r="G25" s="1474">
        <v>4785000</v>
      </c>
      <c r="H25" s="1474">
        <v>10725000</v>
      </c>
      <c r="I25" s="1474">
        <v>12745000</v>
      </c>
      <c r="J25" s="1474">
        <v>4610000</v>
      </c>
      <c r="K25" s="1474">
        <v>8440000</v>
      </c>
      <c r="L25" s="1474">
        <v>10805000</v>
      </c>
      <c r="M25" s="1474">
        <v>17580000</v>
      </c>
      <c r="N25" s="1474">
        <v>8995000</v>
      </c>
      <c r="O25" s="1474">
        <v>13640000</v>
      </c>
      <c r="P25" s="1474">
        <v>8130000</v>
      </c>
      <c r="Q25" s="1474">
        <f t="shared" si="7"/>
        <v>110370000</v>
      </c>
      <c r="R25" s="1474">
        <f t="shared" si="8"/>
        <v>164630000</v>
      </c>
      <c r="T25" s="1490"/>
      <c r="U25" s="1490"/>
    </row>
    <row r="26" spans="1:21">
      <c r="A26" s="1472" t="s">
        <v>45</v>
      </c>
      <c r="B26" s="1473"/>
      <c r="C26" s="1475" t="s">
        <v>46</v>
      </c>
      <c r="D26" s="1476">
        <v>1000000000</v>
      </c>
      <c r="E26" s="1474">
        <v>70060250</v>
      </c>
      <c r="F26" s="1474">
        <v>37202350</v>
      </c>
      <c r="G26" s="1474">
        <v>57740350</v>
      </c>
      <c r="H26" s="1474">
        <v>81470500</v>
      </c>
      <c r="I26" s="1474">
        <v>158323150</v>
      </c>
      <c r="J26" s="1474">
        <v>55443650</v>
      </c>
      <c r="K26" s="1474">
        <v>108423800</v>
      </c>
      <c r="L26" s="1474">
        <v>169739200</v>
      </c>
      <c r="M26" s="1474">
        <v>82077500</v>
      </c>
      <c r="N26" s="1474">
        <v>170664550</v>
      </c>
      <c r="O26" s="1474">
        <v>97278750</v>
      </c>
      <c r="P26" s="1474">
        <v>305188050</v>
      </c>
      <c r="Q26" s="1474">
        <f t="shared" si="7"/>
        <v>1393612100</v>
      </c>
      <c r="R26" s="1474">
        <f t="shared" si="8"/>
        <v>-393612100</v>
      </c>
      <c r="T26" s="1490"/>
      <c r="U26" s="1490"/>
    </row>
    <row r="27" spans="1:21">
      <c r="A27" s="1472" t="s">
        <v>47</v>
      </c>
      <c r="B27" s="1473"/>
      <c r="C27" s="1475" t="s">
        <v>48</v>
      </c>
      <c r="D27" s="1476">
        <v>175000000</v>
      </c>
      <c r="E27" s="1474">
        <v>0</v>
      </c>
      <c r="F27" s="1474">
        <v>0</v>
      </c>
      <c r="G27" s="1474">
        <v>0</v>
      </c>
      <c r="H27" s="1474">
        <v>0</v>
      </c>
      <c r="I27" s="1474">
        <v>400000</v>
      </c>
      <c r="J27" s="1474">
        <v>0</v>
      </c>
      <c r="K27" s="1474">
        <v>15925000</v>
      </c>
      <c r="L27" s="1474">
        <v>0</v>
      </c>
      <c r="M27" s="1474">
        <v>0</v>
      </c>
      <c r="N27" s="1474">
        <v>0</v>
      </c>
      <c r="O27" s="1474">
        <v>3300000</v>
      </c>
      <c r="P27" s="1474">
        <v>1500000</v>
      </c>
      <c r="Q27" s="1476">
        <f t="shared" si="7"/>
        <v>21125000</v>
      </c>
      <c r="R27" s="1474">
        <f t="shared" si="8"/>
        <v>153875000</v>
      </c>
      <c r="T27" s="1490"/>
      <c r="U27" s="1490"/>
    </row>
    <row r="28" spans="1:21">
      <c r="A28" s="1478" t="s">
        <v>49</v>
      </c>
      <c r="B28" s="1473"/>
      <c r="C28" s="1475" t="s">
        <v>50</v>
      </c>
      <c r="D28" s="1476">
        <v>10000000</v>
      </c>
      <c r="E28" s="1476">
        <v>0</v>
      </c>
      <c r="F28" s="1476">
        <v>0</v>
      </c>
      <c r="G28" s="1476">
        <v>0</v>
      </c>
      <c r="H28" s="1476">
        <v>0</v>
      </c>
      <c r="I28" s="1476">
        <v>0</v>
      </c>
      <c r="J28" s="1476">
        <v>0</v>
      </c>
      <c r="K28" s="1476">
        <v>0</v>
      </c>
      <c r="L28" s="1476">
        <v>0</v>
      </c>
      <c r="M28" s="1476">
        <v>0</v>
      </c>
      <c r="N28" s="1476">
        <v>0</v>
      </c>
      <c r="O28" s="1476">
        <v>0</v>
      </c>
      <c r="P28" s="1476">
        <v>0</v>
      </c>
      <c r="Q28" s="1476">
        <f t="shared" si="7"/>
        <v>0</v>
      </c>
      <c r="R28" s="1476">
        <f t="shared" si="8"/>
        <v>10000000</v>
      </c>
      <c r="T28" s="1490"/>
      <c r="U28" s="1490"/>
    </row>
    <row r="29" spans="1:21">
      <c r="A29" s="1478" t="s">
        <v>49</v>
      </c>
      <c r="B29" s="1473"/>
      <c r="C29" s="1475" t="s">
        <v>51</v>
      </c>
      <c r="D29" s="1476">
        <v>0</v>
      </c>
      <c r="E29" s="1476">
        <v>0</v>
      </c>
      <c r="F29" s="1476">
        <v>0</v>
      </c>
      <c r="G29" s="1476">
        <v>0</v>
      </c>
      <c r="H29" s="1476">
        <v>0</v>
      </c>
      <c r="I29" s="1476">
        <v>0</v>
      </c>
      <c r="J29" s="1476">
        <v>0</v>
      </c>
      <c r="K29" s="1476">
        <v>0</v>
      </c>
      <c r="L29" s="1476">
        <v>0</v>
      </c>
      <c r="M29" s="1476">
        <v>0</v>
      </c>
      <c r="N29" s="1476">
        <v>0</v>
      </c>
      <c r="O29" s="1476">
        <v>0</v>
      </c>
      <c r="P29" s="1476">
        <v>0</v>
      </c>
      <c r="Q29" s="1476">
        <f t="shared" si="7"/>
        <v>0</v>
      </c>
      <c r="R29" s="1476">
        <f t="shared" si="8"/>
        <v>0</v>
      </c>
      <c r="T29" s="1490"/>
      <c r="U29" s="1490"/>
    </row>
    <row r="30" spans="1:21" ht="33.75">
      <c r="A30" s="1478" t="s">
        <v>49</v>
      </c>
      <c r="B30" s="1473"/>
      <c r="C30" s="1475" t="s">
        <v>52</v>
      </c>
      <c r="D30" s="1476">
        <v>357000000</v>
      </c>
      <c r="E30" s="1476">
        <v>824930</v>
      </c>
      <c r="F30" s="1476">
        <v>0</v>
      </c>
      <c r="G30" s="1476">
        <v>6983192</v>
      </c>
      <c r="H30" s="1476">
        <v>1433800</v>
      </c>
      <c r="I30" s="1476">
        <v>0</v>
      </c>
      <c r="J30" s="1476">
        <v>5468200</v>
      </c>
      <c r="K30" s="1476">
        <v>7664252</v>
      </c>
      <c r="L30" s="1476">
        <v>4127350</v>
      </c>
      <c r="M30" s="1476">
        <v>12522100</v>
      </c>
      <c r="N30" s="1476">
        <v>11056332</v>
      </c>
      <c r="O30" s="1476">
        <v>19033840</v>
      </c>
      <c r="P30" s="1476">
        <v>105585775</v>
      </c>
      <c r="Q30" s="1476">
        <f t="shared" si="7"/>
        <v>174699771</v>
      </c>
      <c r="R30" s="1476">
        <f t="shared" si="8"/>
        <v>182300229</v>
      </c>
      <c r="T30" s="1490"/>
      <c r="U30" s="1490"/>
    </row>
    <row r="31" spans="1:21">
      <c r="A31" s="1478" t="s">
        <v>49</v>
      </c>
      <c r="B31" s="1473"/>
      <c r="C31" s="1475" t="s">
        <v>53</v>
      </c>
      <c r="D31" s="1476">
        <v>0</v>
      </c>
      <c r="E31" s="1476">
        <v>0</v>
      </c>
      <c r="F31" s="1476">
        <v>8500000</v>
      </c>
      <c r="G31" s="1476">
        <v>500000</v>
      </c>
      <c r="H31" s="1476">
        <v>107625000</v>
      </c>
      <c r="I31" s="1476">
        <v>53625000</v>
      </c>
      <c r="J31" s="1476">
        <v>0</v>
      </c>
      <c r="K31" s="1476">
        <v>500000</v>
      </c>
      <c r="L31" s="1476">
        <v>1000000</v>
      </c>
      <c r="M31" s="1476">
        <v>500000</v>
      </c>
      <c r="N31" s="1476">
        <v>500000</v>
      </c>
      <c r="O31" s="1476">
        <v>0</v>
      </c>
      <c r="P31" s="1476">
        <v>8175000</v>
      </c>
      <c r="Q31" s="1476">
        <f t="shared" si="7"/>
        <v>180925000</v>
      </c>
      <c r="R31" s="1476">
        <f t="shared" si="8"/>
        <v>-180925000</v>
      </c>
      <c r="T31" s="1490"/>
      <c r="U31" s="1490"/>
    </row>
    <row r="32" spans="1:21" ht="22.5">
      <c r="A32" s="1472" t="s">
        <v>54</v>
      </c>
      <c r="B32" s="1473"/>
      <c r="C32" s="1475" t="s">
        <v>55</v>
      </c>
      <c r="D32" s="1474">
        <v>368000000</v>
      </c>
      <c r="E32" s="1476">
        <v>0</v>
      </c>
      <c r="F32" s="1476">
        <v>0</v>
      </c>
      <c r="G32" s="1476">
        <v>0</v>
      </c>
      <c r="H32" s="1476">
        <v>0</v>
      </c>
      <c r="I32" s="1476">
        <v>0</v>
      </c>
      <c r="J32" s="1476">
        <v>0</v>
      </c>
      <c r="K32" s="1476">
        <v>0</v>
      </c>
      <c r="L32" s="1474">
        <v>12250000</v>
      </c>
      <c r="M32" s="1474">
        <v>16781600</v>
      </c>
      <c r="N32" s="1474">
        <v>34466000</v>
      </c>
      <c r="O32" s="1474">
        <v>14007500</v>
      </c>
      <c r="P32" s="1474">
        <v>14406000</v>
      </c>
      <c r="Q32" s="1474">
        <v>91911100</v>
      </c>
      <c r="R32" s="1476">
        <f t="shared" si="8"/>
        <v>276088900</v>
      </c>
      <c r="T32" s="1490"/>
      <c r="U32" s="1490"/>
    </row>
    <row r="33" spans="1:21" ht="33.75">
      <c r="A33" s="1467">
        <v>2</v>
      </c>
      <c r="B33" s="1468" t="s">
        <v>56</v>
      </c>
      <c r="C33" s="1469"/>
      <c r="D33" s="1470">
        <f t="shared" ref="D33:Q33" si="9">+D34+D35</f>
        <v>40000000</v>
      </c>
      <c r="E33" s="1470">
        <f t="shared" si="9"/>
        <v>13900000</v>
      </c>
      <c r="F33" s="1470">
        <f t="shared" si="9"/>
        <v>3430000</v>
      </c>
      <c r="G33" s="1470">
        <f t="shared" si="9"/>
        <v>5660000</v>
      </c>
      <c r="H33" s="1470">
        <f t="shared" si="9"/>
        <v>11600000</v>
      </c>
      <c r="I33" s="1470">
        <f t="shared" si="9"/>
        <v>6770000</v>
      </c>
      <c r="J33" s="1470">
        <f t="shared" si="9"/>
        <v>3290000</v>
      </c>
      <c r="K33" s="1470">
        <f t="shared" si="9"/>
        <v>11440000</v>
      </c>
      <c r="L33" s="1470">
        <f t="shared" si="9"/>
        <v>2680000</v>
      </c>
      <c r="M33" s="1470">
        <f t="shared" si="9"/>
        <v>3990000</v>
      </c>
      <c r="N33" s="1470">
        <f t="shared" si="9"/>
        <v>6000000</v>
      </c>
      <c r="O33" s="1470">
        <f t="shared" si="9"/>
        <v>4710000</v>
      </c>
      <c r="P33" s="1470">
        <f t="shared" si="9"/>
        <v>5390000</v>
      </c>
      <c r="Q33" s="1470">
        <f t="shared" si="9"/>
        <v>78860000</v>
      </c>
      <c r="R33" s="1470">
        <f>+R34</f>
        <v>-38860000</v>
      </c>
      <c r="T33" s="1490"/>
      <c r="U33" s="1490"/>
    </row>
    <row r="34" spans="1:21">
      <c r="A34" s="1472" t="s">
        <v>33</v>
      </c>
      <c r="B34" s="1468"/>
      <c r="C34" s="1475" t="s">
        <v>42</v>
      </c>
      <c r="D34" s="1476">
        <v>40000000</v>
      </c>
      <c r="E34" s="1476">
        <v>13900000</v>
      </c>
      <c r="F34" s="1476">
        <v>3430000</v>
      </c>
      <c r="G34" s="1476">
        <v>5660000</v>
      </c>
      <c r="H34" s="1476">
        <v>11600000</v>
      </c>
      <c r="I34" s="1476">
        <v>6770000</v>
      </c>
      <c r="J34" s="1476">
        <v>3290000</v>
      </c>
      <c r="K34" s="1476">
        <v>11440000</v>
      </c>
      <c r="L34" s="1476">
        <v>2680000</v>
      </c>
      <c r="M34" s="1476">
        <v>3990000</v>
      </c>
      <c r="N34" s="1476">
        <v>6000000</v>
      </c>
      <c r="O34" s="1476">
        <v>4710000</v>
      </c>
      <c r="P34" s="1476">
        <v>5390000</v>
      </c>
      <c r="Q34" s="1476">
        <v>78860000</v>
      </c>
      <c r="R34" s="1476">
        <f>+D34-Q34</f>
        <v>-38860000</v>
      </c>
      <c r="T34" s="1490"/>
      <c r="U34" s="1490"/>
    </row>
    <row r="35" spans="1:21">
      <c r="A35" s="1472" t="s">
        <v>28</v>
      </c>
      <c r="B35" s="1473"/>
      <c r="C35" s="1475" t="s">
        <v>50</v>
      </c>
      <c r="D35" s="1476">
        <v>0</v>
      </c>
      <c r="E35" s="1476">
        <v>0</v>
      </c>
      <c r="F35" s="1476">
        <v>0</v>
      </c>
      <c r="G35" s="1476">
        <v>0</v>
      </c>
      <c r="H35" s="1476">
        <v>0</v>
      </c>
      <c r="I35" s="1476">
        <v>0</v>
      </c>
      <c r="J35" s="1476">
        <v>0</v>
      </c>
      <c r="K35" s="1476">
        <v>0</v>
      </c>
      <c r="L35" s="1476">
        <v>0</v>
      </c>
      <c r="M35" s="1476">
        <v>0</v>
      </c>
      <c r="N35" s="1476">
        <v>0</v>
      </c>
      <c r="O35" s="1476">
        <v>0</v>
      </c>
      <c r="P35" s="1476">
        <v>0</v>
      </c>
      <c r="Q35" s="1476">
        <v>0</v>
      </c>
      <c r="R35" s="1476">
        <v>0</v>
      </c>
      <c r="T35" s="1490"/>
      <c r="U35" s="1490"/>
    </row>
    <row r="36" spans="1:21">
      <c r="A36" s="1472"/>
      <c r="B36" s="1473"/>
      <c r="C36" s="1475"/>
      <c r="D36" s="1474"/>
      <c r="E36" s="1474"/>
      <c r="F36" s="1474"/>
      <c r="G36" s="1474"/>
      <c r="H36" s="1474"/>
      <c r="I36" s="1474"/>
      <c r="J36" s="1474"/>
      <c r="K36" s="1474"/>
      <c r="L36" s="1474"/>
      <c r="M36" s="1474"/>
      <c r="N36" s="1474"/>
      <c r="O36" s="1474"/>
      <c r="P36" s="1474"/>
      <c r="Q36" s="1474"/>
      <c r="R36" s="1474"/>
      <c r="T36" s="1490"/>
      <c r="U36" s="1490"/>
    </row>
    <row r="37" spans="1:21" ht="22.5">
      <c r="A37" s="1467">
        <v>3</v>
      </c>
      <c r="B37" s="1468" t="s">
        <v>57</v>
      </c>
      <c r="C37" s="1467"/>
      <c r="D37" s="1470">
        <f t="shared" ref="D37:R37" si="10">+D38</f>
        <v>65000000</v>
      </c>
      <c r="E37" s="1470">
        <f t="shared" si="10"/>
        <v>45000000</v>
      </c>
      <c r="F37" s="1470">
        <f t="shared" si="10"/>
        <v>0</v>
      </c>
      <c r="G37" s="1470">
        <f t="shared" si="10"/>
        <v>2500000</v>
      </c>
      <c r="H37" s="1470">
        <f t="shared" si="10"/>
        <v>0</v>
      </c>
      <c r="I37" s="1470">
        <f t="shared" si="10"/>
        <v>0</v>
      </c>
      <c r="J37" s="1470">
        <f t="shared" si="10"/>
        <v>0</v>
      </c>
      <c r="K37" s="1470">
        <f t="shared" si="10"/>
        <v>0</v>
      </c>
      <c r="L37" s="1470">
        <f t="shared" si="10"/>
        <v>7000000</v>
      </c>
      <c r="M37" s="1470">
        <f t="shared" si="10"/>
        <v>38500000</v>
      </c>
      <c r="N37" s="1470">
        <f t="shared" si="10"/>
        <v>17500000</v>
      </c>
      <c r="O37" s="1470">
        <f t="shared" si="10"/>
        <v>12125000</v>
      </c>
      <c r="P37" s="1470">
        <f t="shared" si="10"/>
        <v>27700000</v>
      </c>
      <c r="Q37" s="1470">
        <f t="shared" si="10"/>
        <v>150325000</v>
      </c>
      <c r="R37" s="1470">
        <f t="shared" si="10"/>
        <v>-85325000</v>
      </c>
      <c r="T37" s="1490"/>
      <c r="U37" s="1490"/>
    </row>
    <row r="38" spans="1:21">
      <c r="A38" s="1472" t="s">
        <v>33</v>
      </c>
      <c r="B38" s="1473"/>
      <c r="C38" s="1475" t="s">
        <v>58</v>
      </c>
      <c r="D38" s="1474">
        <v>65000000</v>
      </c>
      <c r="E38" s="1474">
        <v>45000000</v>
      </c>
      <c r="F38" s="1474">
        <v>0</v>
      </c>
      <c r="G38" s="1474">
        <v>2500000</v>
      </c>
      <c r="H38" s="1474">
        <v>0</v>
      </c>
      <c r="I38" s="1474">
        <v>0</v>
      </c>
      <c r="J38" s="1474">
        <v>0</v>
      </c>
      <c r="K38" s="1474">
        <v>0</v>
      </c>
      <c r="L38" s="1474">
        <v>7000000</v>
      </c>
      <c r="M38" s="1474">
        <v>38500000</v>
      </c>
      <c r="N38" s="1474">
        <v>17500000</v>
      </c>
      <c r="O38" s="1474">
        <v>12125000</v>
      </c>
      <c r="P38" s="1474">
        <v>27700000</v>
      </c>
      <c r="Q38" s="1474">
        <f>SUM(E38:P38)</f>
        <v>150325000</v>
      </c>
      <c r="R38" s="1474">
        <f>+D38-Q38</f>
        <v>-85325000</v>
      </c>
      <c r="T38" s="1490"/>
      <c r="U38" s="1490"/>
    </row>
    <row r="39" spans="1:21">
      <c r="A39" s="1472"/>
      <c r="B39" s="1473"/>
      <c r="C39" s="1475"/>
      <c r="D39" s="1474"/>
      <c r="E39" s="1474"/>
      <c r="F39" s="1474"/>
      <c r="G39" s="1474"/>
      <c r="H39" s="1474"/>
      <c r="I39" s="1474"/>
      <c r="J39" s="1474"/>
      <c r="K39" s="1474"/>
      <c r="L39" s="1474"/>
      <c r="M39" s="1474"/>
      <c r="N39" s="1474"/>
      <c r="O39" s="1474"/>
      <c r="P39" s="1474"/>
      <c r="Q39" s="1474"/>
      <c r="R39" s="1474"/>
      <c r="T39" s="1490"/>
      <c r="U39" s="1490"/>
    </row>
    <row r="40" spans="1:21" ht="22.5">
      <c r="A40" s="1467">
        <v>4</v>
      </c>
      <c r="B40" s="1471" t="s">
        <v>59</v>
      </c>
      <c r="C40" s="1469"/>
      <c r="D40" s="1470">
        <f t="shared" ref="D40:R40" si="11">SUM(D41:D42)</f>
        <v>550000000</v>
      </c>
      <c r="E40" s="1470">
        <f t="shared" si="11"/>
        <v>6934000</v>
      </c>
      <c r="F40" s="1470">
        <f t="shared" si="11"/>
        <v>3000000</v>
      </c>
      <c r="G40" s="1470">
        <f t="shared" si="11"/>
        <v>0</v>
      </c>
      <c r="H40" s="1470">
        <f t="shared" si="11"/>
        <v>947000</v>
      </c>
      <c r="I40" s="1470">
        <f t="shared" si="11"/>
        <v>0</v>
      </c>
      <c r="J40" s="1470">
        <f t="shared" si="11"/>
        <v>0</v>
      </c>
      <c r="K40" s="1470">
        <f t="shared" si="11"/>
        <v>0</v>
      </c>
      <c r="L40" s="1470">
        <f t="shared" si="11"/>
        <v>46755000</v>
      </c>
      <c r="M40" s="1470">
        <f t="shared" si="11"/>
        <v>0</v>
      </c>
      <c r="N40" s="1470">
        <f t="shared" si="11"/>
        <v>3000000</v>
      </c>
      <c r="O40" s="1470">
        <f t="shared" si="11"/>
        <v>83829500</v>
      </c>
      <c r="P40" s="1470">
        <f t="shared" si="11"/>
        <v>65793000</v>
      </c>
      <c r="Q40" s="1470">
        <f t="shared" si="11"/>
        <v>210258500</v>
      </c>
      <c r="R40" s="1470">
        <f t="shared" si="11"/>
        <v>339741500</v>
      </c>
      <c r="T40" s="1490"/>
      <c r="U40" s="1490"/>
    </row>
    <row r="41" spans="1:21" ht="22.5">
      <c r="A41" s="1472" t="s">
        <v>33</v>
      </c>
      <c r="B41" s="1473"/>
      <c r="C41" s="1475" t="s">
        <v>55</v>
      </c>
      <c r="D41" s="1476">
        <v>100000000</v>
      </c>
      <c r="E41" s="1476">
        <v>6934000</v>
      </c>
      <c r="F41" s="1476">
        <v>3000000</v>
      </c>
      <c r="G41" s="1476">
        <v>0</v>
      </c>
      <c r="H41" s="1476">
        <v>947000</v>
      </c>
      <c r="I41" s="1476">
        <v>0</v>
      </c>
      <c r="J41" s="1476">
        <v>0</v>
      </c>
      <c r="K41" s="1476">
        <v>0</v>
      </c>
      <c r="L41" s="1476">
        <v>0</v>
      </c>
      <c r="M41" s="1476">
        <v>0</v>
      </c>
      <c r="N41" s="1476">
        <v>3000000</v>
      </c>
      <c r="O41" s="1476">
        <v>0</v>
      </c>
      <c r="P41" s="1476">
        <v>43880000</v>
      </c>
      <c r="Q41" s="1476">
        <f>SUM(E41:P41)</f>
        <v>57761000</v>
      </c>
      <c r="R41" s="1476">
        <f>+D41-Q41</f>
        <v>42239000</v>
      </c>
      <c r="T41" s="1490"/>
      <c r="U41" s="1490"/>
    </row>
    <row r="42" spans="1:21" ht="33.75">
      <c r="A42" s="1472" t="s">
        <v>28</v>
      </c>
      <c r="B42" s="1473"/>
      <c r="C42" s="1475" t="s">
        <v>52</v>
      </c>
      <c r="D42" s="1476">
        <v>450000000</v>
      </c>
      <c r="E42" s="1476">
        <v>0</v>
      </c>
      <c r="F42" s="1476">
        <v>0</v>
      </c>
      <c r="G42" s="1476">
        <v>0</v>
      </c>
      <c r="H42" s="1476">
        <v>0</v>
      </c>
      <c r="I42" s="1476">
        <v>0</v>
      </c>
      <c r="J42" s="1476">
        <v>0</v>
      </c>
      <c r="K42" s="1476">
        <v>0</v>
      </c>
      <c r="L42" s="1476">
        <v>46755000</v>
      </c>
      <c r="M42" s="1476">
        <v>0</v>
      </c>
      <c r="N42" s="1476">
        <v>0</v>
      </c>
      <c r="O42" s="1476">
        <v>83829500</v>
      </c>
      <c r="P42" s="1476">
        <v>21913000</v>
      </c>
      <c r="Q42" s="1476">
        <f>SUM(E42:P42)</f>
        <v>152497500</v>
      </c>
      <c r="R42" s="1476">
        <f>+D42-Q42</f>
        <v>297502500</v>
      </c>
      <c r="T42" s="1490"/>
      <c r="U42" s="1490"/>
    </row>
    <row r="43" spans="1:21" ht="22.5">
      <c r="A43" s="1467" t="s">
        <v>60</v>
      </c>
      <c r="B43" s="1468" t="s">
        <v>61</v>
      </c>
      <c r="C43" s="1467"/>
      <c r="D43" s="1470">
        <f t="shared" ref="D43:R43" si="12">+D44+D47+D50</f>
        <v>1190000000</v>
      </c>
      <c r="E43" s="1470">
        <f t="shared" si="12"/>
        <v>6526287</v>
      </c>
      <c r="F43" s="1470">
        <f t="shared" si="12"/>
        <v>14665689</v>
      </c>
      <c r="G43" s="1470">
        <f t="shared" si="12"/>
        <v>75402345</v>
      </c>
      <c r="H43" s="1470">
        <f t="shared" si="12"/>
        <v>33802025</v>
      </c>
      <c r="I43" s="1470">
        <f t="shared" si="12"/>
        <v>17270862</v>
      </c>
      <c r="J43" s="1470">
        <f t="shared" si="12"/>
        <v>23594942</v>
      </c>
      <c r="K43" s="1470">
        <f t="shared" si="12"/>
        <v>245876266</v>
      </c>
      <c r="L43" s="1470">
        <f t="shared" si="12"/>
        <v>295758000</v>
      </c>
      <c r="M43" s="1470">
        <f t="shared" si="12"/>
        <v>8737698</v>
      </c>
      <c r="N43" s="1470">
        <f t="shared" si="12"/>
        <v>9110657</v>
      </c>
      <c r="O43" s="1470">
        <f t="shared" si="12"/>
        <v>29300444</v>
      </c>
      <c r="P43" s="1470">
        <f t="shared" si="12"/>
        <v>16843361</v>
      </c>
      <c r="Q43" s="1470">
        <f t="shared" si="12"/>
        <v>776888576</v>
      </c>
      <c r="R43" s="1470">
        <f t="shared" si="12"/>
        <v>413111424</v>
      </c>
      <c r="T43" s="1490"/>
      <c r="U43" s="1490"/>
    </row>
    <row r="44" spans="1:21">
      <c r="A44" s="1472" t="s">
        <v>33</v>
      </c>
      <c r="B44" s="1471" t="s">
        <v>62</v>
      </c>
      <c r="C44" s="1469"/>
      <c r="D44" s="1479">
        <f t="shared" ref="D44:O44" si="13">SUM(D45)</f>
        <v>75000000</v>
      </c>
      <c r="E44" s="1479">
        <f t="shared" si="13"/>
        <v>0</v>
      </c>
      <c r="F44" s="1479">
        <f t="shared" si="13"/>
        <v>0</v>
      </c>
      <c r="G44" s="1479">
        <f t="shared" si="13"/>
        <v>1250000</v>
      </c>
      <c r="H44" s="1479">
        <f t="shared" si="13"/>
        <v>15000000</v>
      </c>
      <c r="I44" s="1479">
        <f t="shared" si="13"/>
        <v>4500000</v>
      </c>
      <c r="J44" s="1479">
        <f t="shared" si="13"/>
        <v>0</v>
      </c>
      <c r="K44" s="1479">
        <f t="shared" si="13"/>
        <v>18250000</v>
      </c>
      <c r="L44" s="1479">
        <f t="shared" si="13"/>
        <v>0</v>
      </c>
      <c r="M44" s="1479">
        <f t="shared" si="13"/>
        <v>0</v>
      </c>
      <c r="N44" s="1479">
        <f t="shared" si="13"/>
        <v>0</v>
      </c>
      <c r="O44" s="1479">
        <f t="shared" si="13"/>
        <v>0</v>
      </c>
      <c r="P44" s="1479">
        <v>1500000</v>
      </c>
      <c r="Q44" s="1479">
        <f>SUM(Q45)</f>
        <v>40500000</v>
      </c>
      <c r="R44" s="1479">
        <f>+R45</f>
        <v>34500000</v>
      </c>
      <c r="T44" s="1490"/>
      <c r="U44" s="1490"/>
    </row>
    <row r="45" spans="1:21">
      <c r="A45" s="1472"/>
      <c r="B45" s="1473"/>
      <c r="C45" s="1475" t="s">
        <v>63</v>
      </c>
      <c r="D45" s="1474">
        <v>75000000</v>
      </c>
      <c r="E45" s="1474">
        <v>0</v>
      </c>
      <c r="F45" s="1474">
        <v>0</v>
      </c>
      <c r="G45" s="1474">
        <v>1250000</v>
      </c>
      <c r="H45" s="1474">
        <v>15000000</v>
      </c>
      <c r="I45" s="1474">
        <v>4500000</v>
      </c>
      <c r="J45" s="1474">
        <v>0</v>
      </c>
      <c r="K45" s="1474">
        <v>18250000</v>
      </c>
      <c r="L45" s="1474">
        <v>0</v>
      </c>
      <c r="M45" s="1474">
        <v>0</v>
      </c>
      <c r="N45" s="1474">
        <v>0</v>
      </c>
      <c r="O45" s="1474">
        <v>0</v>
      </c>
      <c r="P45" s="1474">
        <v>1500000</v>
      </c>
      <c r="Q45" s="1474">
        <f>SUM(E45:P45)</f>
        <v>40500000</v>
      </c>
      <c r="R45" s="1474">
        <f>+D45-Q45</f>
        <v>34500000</v>
      </c>
      <c r="T45" s="1490"/>
      <c r="U45" s="1490"/>
    </row>
    <row r="46" spans="1:21">
      <c r="A46" s="1472"/>
      <c r="B46" s="1473"/>
      <c r="C46" s="1475"/>
      <c r="D46" s="1474"/>
      <c r="E46" s="1474"/>
      <c r="F46" s="1474"/>
      <c r="G46" s="1474"/>
      <c r="H46" s="1474"/>
      <c r="I46" s="1474">
        <v>0</v>
      </c>
      <c r="J46" s="1474"/>
      <c r="K46" s="1474"/>
      <c r="L46" s="1474"/>
      <c r="M46" s="1474"/>
      <c r="N46" s="1474"/>
      <c r="O46" s="1474"/>
      <c r="P46" s="1474"/>
      <c r="Q46" s="1474"/>
      <c r="R46" s="1474"/>
      <c r="T46" s="1490"/>
      <c r="U46" s="1490"/>
    </row>
    <row r="47" spans="1:21" ht="22.5">
      <c r="A47" s="1467" t="s">
        <v>28</v>
      </c>
      <c r="B47" s="1471" t="s">
        <v>64</v>
      </c>
      <c r="C47" s="1469"/>
      <c r="D47" s="1470">
        <f t="shared" ref="D47:P47" si="14">+D48</f>
        <v>115000000</v>
      </c>
      <c r="E47" s="1470">
        <f t="shared" si="14"/>
        <v>6526287</v>
      </c>
      <c r="F47" s="1470">
        <f t="shared" si="14"/>
        <v>14665689</v>
      </c>
      <c r="G47" s="1470">
        <f t="shared" si="14"/>
        <v>8076745</v>
      </c>
      <c r="H47" s="1470">
        <f t="shared" si="14"/>
        <v>18802025</v>
      </c>
      <c r="I47" s="1470">
        <f t="shared" si="14"/>
        <v>12770862</v>
      </c>
      <c r="J47" s="1470">
        <f t="shared" si="14"/>
        <v>6854942</v>
      </c>
      <c r="K47" s="1470">
        <f t="shared" si="14"/>
        <v>3115866</v>
      </c>
      <c r="L47" s="1470">
        <f t="shared" si="14"/>
        <v>0</v>
      </c>
      <c r="M47" s="1470">
        <f t="shared" si="14"/>
        <v>8737698</v>
      </c>
      <c r="N47" s="1470">
        <f t="shared" si="14"/>
        <v>9110657</v>
      </c>
      <c r="O47" s="1470">
        <f t="shared" si="14"/>
        <v>29300444</v>
      </c>
      <c r="P47" s="1470">
        <f t="shared" si="14"/>
        <v>15343361</v>
      </c>
      <c r="Q47" s="1470">
        <f>SUM(E47:P47)</f>
        <v>133304576</v>
      </c>
      <c r="R47" s="1470">
        <f>+R48</f>
        <v>-18304576</v>
      </c>
      <c r="T47" s="1490"/>
      <c r="U47" s="1490"/>
    </row>
    <row r="48" spans="1:21">
      <c r="A48" s="1472"/>
      <c r="B48" s="1473"/>
      <c r="C48" s="1475" t="s">
        <v>63</v>
      </c>
      <c r="D48" s="1476">
        <v>115000000</v>
      </c>
      <c r="E48" s="1476">
        <v>6526287</v>
      </c>
      <c r="F48" s="1476">
        <v>14665689</v>
      </c>
      <c r="G48" s="1476">
        <v>8076745</v>
      </c>
      <c r="H48" s="1476">
        <v>18802025</v>
      </c>
      <c r="I48" s="1476">
        <v>12770862</v>
      </c>
      <c r="J48" s="1476">
        <v>6854942</v>
      </c>
      <c r="K48" s="1476">
        <v>3115866</v>
      </c>
      <c r="L48" s="1476">
        <v>0</v>
      </c>
      <c r="M48" s="1476">
        <v>8737698</v>
      </c>
      <c r="N48" s="1476">
        <v>9110657</v>
      </c>
      <c r="O48" s="1476">
        <v>29300444</v>
      </c>
      <c r="P48" s="1476">
        <v>15343361</v>
      </c>
      <c r="Q48" s="1476">
        <f>SUM(E48:P48)</f>
        <v>133304576</v>
      </c>
      <c r="R48" s="1476">
        <f>+D48-Q48</f>
        <v>-18304576</v>
      </c>
      <c r="T48" s="1490"/>
      <c r="U48" s="1490"/>
    </row>
    <row r="49" spans="1:21">
      <c r="A49" s="1472"/>
      <c r="B49" s="1473"/>
      <c r="C49" s="1475"/>
      <c r="D49" s="1474"/>
      <c r="E49" s="1474"/>
      <c r="F49" s="1474"/>
      <c r="G49" s="1474"/>
      <c r="H49" s="1474"/>
      <c r="I49" s="1474"/>
      <c r="J49" s="1474"/>
      <c r="K49" s="1474"/>
      <c r="L49" s="1474"/>
      <c r="M49" s="1474"/>
      <c r="N49" s="1474"/>
      <c r="O49" s="1474"/>
      <c r="P49" s="1474"/>
      <c r="Q49" s="1474"/>
      <c r="R49" s="1474"/>
      <c r="T49" s="1490"/>
      <c r="U49" s="1490"/>
    </row>
    <row r="50" spans="1:21" ht="22.5">
      <c r="A50" s="1467" t="s">
        <v>30</v>
      </c>
      <c r="B50" s="1471" t="s">
        <v>65</v>
      </c>
      <c r="C50" s="1469"/>
      <c r="D50" s="1479">
        <f t="shared" ref="D50:R50" si="15">+D51</f>
        <v>1000000000</v>
      </c>
      <c r="E50" s="1479">
        <f t="shared" si="15"/>
        <v>0</v>
      </c>
      <c r="F50" s="1479">
        <f t="shared" si="15"/>
        <v>0</v>
      </c>
      <c r="G50" s="1479">
        <f t="shared" si="15"/>
        <v>66075600</v>
      </c>
      <c r="H50" s="1479">
        <f t="shared" si="15"/>
        <v>0</v>
      </c>
      <c r="I50" s="1479">
        <f t="shared" si="15"/>
        <v>0</v>
      </c>
      <c r="J50" s="1479">
        <f t="shared" si="15"/>
        <v>16740000</v>
      </c>
      <c r="K50" s="1479">
        <f t="shared" si="15"/>
        <v>224510400</v>
      </c>
      <c r="L50" s="1479">
        <f t="shared" si="15"/>
        <v>295758000</v>
      </c>
      <c r="M50" s="1479">
        <f t="shared" si="15"/>
        <v>0</v>
      </c>
      <c r="N50" s="1479">
        <f t="shared" si="15"/>
        <v>0</v>
      </c>
      <c r="O50" s="1479">
        <f t="shared" si="15"/>
        <v>0</v>
      </c>
      <c r="P50" s="1479">
        <f t="shared" si="15"/>
        <v>0</v>
      </c>
      <c r="Q50" s="1479">
        <f t="shared" si="15"/>
        <v>603084000</v>
      </c>
      <c r="R50" s="1479">
        <f t="shared" si="15"/>
        <v>396916000</v>
      </c>
      <c r="T50" s="1490"/>
      <c r="U50" s="1490"/>
    </row>
    <row r="51" spans="1:21">
      <c r="A51" s="1472"/>
      <c r="B51" s="1473"/>
      <c r="C51" s="1475" t="s">
        <v>48</v>
      </c>
      <c r="D51" s="1474">
        <v>1000000000</v>
      </c>
      <c r="E51" s="1474">
        <v>0</v>
      </c>
      <c r="F51" s="1474">
        <v>0</v>
      </c>
      <c r="G51" s="1474">
        <v>66075600</v>
      </c>
      <c r="H51" s="1474">
        <v>0</v>
      </c>
      <c r="I51" s="1474">
        <v>0</v>
      </c>
      <c r="J51" s="1474">
        <v>16740000</v>
      </c>
      <c r="K51" s="1474">
        <v>224510400</v>
      </c>
      <c r="L51" s="1474">
        <v>295758000</v>
      </c>
      <c r="M51" s="1474">
        <v>0</v>
      </c>
      <c r="N51" s="1474">
        <v>0</v>
      </c>
      <c r="O51" s="1474">
        <v>0</v>
      </c>
      <c r="P51" s="1474"/>
      <c r="Q51" s="1474">
        <v>603084000</v>
      </c>
      <c r="R51" s="1474">
        <f>+D51-Q51</f>
        <v>396916000</v>
      </c>
      <c r="T51" s="1490"/>
      <c r="U51" s="1490"/>
    </row>
    <row r="52" spans="1:21">
      <c r="A52" s="1480"/>
      <c r="B52" s="1481"/>
      <c r="C52" s="1482"/>
      <c r="D52" s="1483"/>
      <c r="E52" s="1483"/>
      <c r="F52" s="1483"/>
      <c r="G52" s="1483"/>
      <c r="H52" s="1483"/>
      <c r="I52" s="1483"/>
      <c r="J52" s="1483"/>
      <c r="K52" s="1483"/>
      <c r="L52" s="1483"/>
      <c r="M52" s="1483"/>
      <c r="N52" s="1483"/>
      <c r="O52" s="1483"/>
      <c r="P52" s="1483"/>
      <c r="Q52" s="1483"/>
      <c r="R52" s="1483"/>
      <c r="T52" s="1491"/>
    </row>
    <row r="53" spans="1:21">
      <c r="A53" s="1458"/>
      <c r="B53" s="1458"/>
      <c r="C53" s="1458"/>
      <c r="D53" s="1458"/>
      <c r="E53" s="1458"/>
      <c r="F53" s="1458"/>
      <c r="G53" s="1458"/>
      <c r="H53" s="1458"/>
      <c r="I53" s="1458"/>
      <c r="J53" s="1458"/>
      <c r="K53" s="1458"/>
      <c r="L53" s="1458"/>
      <c r="M53" s="1458"/>
      <c r="N53" s="1458"/>
      <c r="O53" s="1458"/>
      <c r="P53" s="1458"/>
      <c r="Q53" s="1458"/>
      <c r="R53" s="1458"/>
      <c r="T53" s="1491"/>
    </row>
    <row r="54" spans="1:21">
      <c r="A54" s="235"/>
      <c r="B54" s="235"/>
      <c r="C54" s="235"/>
      <c r="D54" s="235"/>
      <c r="E54" s="235"/>
      <c r="F54" s="235"/>
      <c r="G54" s="235"/>
      <c r="H54" s="235"/>
      <c r="I54" s="1484"/>
      <c r="J54" s="1486"/>
      <c r="K54" s="1486"/>
      <c r="L54" s="1486"/>
      <c r="M54" s="1486"/>
      <c r="N54" s="235"/>
      <c r="O54" s="235"/>
      <c r="P54" s="1486"/>
      <c r="Q54" s="121"/>
      <c r="R54" s="235"/>
      <c r="T54" s="1491"/>
    </row>
    <row r="55" spans="1:21">
      <c r="A55" s="235"/>
      <c r="B55" s="235"/>
      <c r="C55" s="235"/>
      <c r="D55" s="235"/>
      <c r="E55" s="235"/>
      <c r="F55" s="235"/>
      <c r="G55" s="235"/>
      <c r="H55" s="235"/>
      <c r="I55" s="235"/>
      <c r="J55" s="235"/>
      <c r="K55" s="235"/>
      <c r="L55" s="235"/>
      <c r="M55" s="235"/>
      <c r="N55" s="235"/>
      <c r="O55" s="235"/>
      <c r="P55" s="235"/>
      <c r="Q55" s="1486"/>
      <c r="R55" s="235"/>
    </row>
    <row r="56" spans="1:21">
      <c r="A56" s="235"/>
      <c r="B56" s="235"/>
      <c r="C56" s="235"/>
      <c r="D56" s="235"/>
      <c r="E56" s="235"/>
      <c r="F56" s="235"/>
      <c r="G56" s="235"/>
      <c r="H56" s="235"/>
      <c r="I56" s="235"/>
      <c r="J56" s="235"/>
      <c r="K56" s="235"/>
      <c r="L56" s="235"/>
      <c r="M56" s="235"/>
      <c r="N56" s="235"/>
      <c r="O56" s="235"/>
      <c r="P56" s="235"/>
      <c r="Q56" s="1486"/>
      <c r="R56" s="235"/>
    </row>
    <row r="57" spans="1:21">
      <c r="A57" s="235"/>
      <c r="B57" s="235"/>
      <c r="C57" s="235"/>
      <c r="D57" s="235"/>
      <c r="E57" s="235"/>
      <c r="F57" s="235"/>
      <c r="G57" s="235"/>
      <c r="H57" s="235"/>
      <c r="I57" s="235"/>
      <c r="J57" s="235"/>
      <c r="K57" s="235"/>
      <c r="L57" s="235"/>
      <c r="M57" s="235"/>
      <c r="N57" s="235"/>
      <c r="O57" s="235"/>
      <c r="P57" s="235"/>
      <c r="Q57" s="1486"/>
      <c r="R57" s="235"/>
    </row>
    <row r="58" spans="1:21">
      <c r="A58" s="235"/>
      <c r="B58" s="235"/>
      <c r="C58" s="235"/>
      <c r="D58" s="235"/>
      <c r="E58" s="235"/>
      <c r="F58" s="235"/>
      <c r="G58" s="235"/>
      <c r="H58" s="235"/>
      <c r="I58" s="235"/>
      <c r="J58" s="235"/>
      <c r="K58" s="235"/>
      <c r="L58" s="235"/>
      <c r="M58" s="235"/>
      <c r="N58" s="235"/>
      <c r="O58" s="235"/>
      <c r="P58" s="235"/>
      <c r="Q58" s="1486"/>
      <c r="R58" s="235"/>
    </row>
    <row r="59" spans="1:21">
      <c r="A59" s="235"/>
      <c r="B59" s="235"/>
      <c r="C59" s="235"/>
      <c r="D59" s="1484"/>
      <c r="E59" s="235"/>
      <c r="F59" s="235"/>
      <c r="G59" s="235"/>
      <c r="H59" s="235"/>
      <c r="I59" s="235"/>
      <c r="J59" s="235"/>
      <c r="K59" s="235"/>
      <c r="L59" s="235"/>
      <c r="M59" s="235"/>
      <c r="N59" s="235"/>
      <c r="O59" s="235"/>
      <c r="P59" s="235"/>
      <c r="Q59" s="1486"/>
      <c r="R59" s="235"/>
    </row>
    <row r="60" spans="1:21">
      <c r="A60" s="235"/>
      <c r="B60" s="235"/>
      <c r="C60" s="235"/>
      <c r="D60" s="235"/>
      <c r="E60" s="235"/>
      <c r="F60" s="235"/>
      <c r="G60" s="235"/>
      <c r="H60" s="235"/>
      <c r="I60" s="235"/>
      <c r="J60" s="235"/>
      <c r="K60" s="235"/>
      <c r="L60" s="235"/>
      <c r="M60" s="235"/>
      <c r="N60" s="235"/>
      <c r="O60" s="235"/>
      <c r="P60" s="235"/>
      <c r="Q60" s="1486"/>
      <c r="R60" s="235"/>
    </row>
    <row r="61" spans="1:21">
      <c r="Q61" s="1492"/>
    </row>
    <row r="62" spans="1:21">
      <c r="Q62" s="1492"/>
    </row>
    <row r="63" spans="1:21">
      <c r="Q63" s="1492"/>
    </row>
    <row r="64" spans="1:21">
      <c r="Q64" s="1492"/>
    </row>
    <row r="65" spans="4:17">
      <c r="D65" s="1493"/>
      <c r="Q65" s="1492"/>
    </row>
    <row r="66" spans="4:17">
      <c r="Q66" s="1492"/>
    </row>
    <row r="67" spans="4:17">
      <c r="Q67" s="1492"/>
    </row>
    <row r="68" spans="4:17">
      <c r="Q68" s="1492"/>
    </row>
    <row r="69" spans="4:17">
      <c r="Q69" s="1492"/>
    </row>
    <row r="70" spans="4:17">
      <c r="Q70" s="1494"/>
    </row>
    <row r="71" spans="4:17">
      <c r="Q71" s="1492"/>
    </row>
  </sheetData>
  <mergeCells count="12">
    <mergeCell ref="T5:T6"/>
    <mergeCell ref="U5:U6"/>
    <mergeCell ref="A1:R1"/>
    <mergeCell ref="A2:R2"/>
    <mergeCell ref="A3:R3"/>
    <mergeCell ref="E5:P5"/>
    <mergeCell ref="A5:A6"/>
    <mergeCell ref="B5:B6"/>
    <mergeCell ref="C5:C6"/>
    <mergeCell ref="D5:D6"/>
    <mergeCell ref="Q5:Q6"/>
    <mergeCell ref="R5:R6"/>
  </mergeCells>
  <pageMargins left="1.1499999999999999" right="0.2" top="0.59" bottom="0.75" header="0.2" footer="0.30972222222222201"/>
  <pageSetup paperSize="125" scale="5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00B0F0"/>
  </sheetPr>
  <dimension ref="A2:Y52"/>
  <sheetViews>
    <sheetView workbookViewId="0">
      <selection activeCell="F10" sqref="F10"/>
    </sheetView>
  </sheetViews>
  <sheetFormatPr defaultColWidth="9.140625" defaultRowHeight="12.75"/>
  <cols>
    <col min="1" max="1" width="0.85546875" style="50" customWidth="1"/>
    <col min="2" max="2" width="4.140625" style="50" customWidth="1"/>
    <col min="3" max="3" width="35.7109375" style="50" customWidth="1"/>
    <col min="4" max="4" width="15.140625" style="50" customWidth="1"/>
    <col min="5" max="5" width="15.5703125" style="50" customWidth="1"/>
    <col min="6" max="7" width="13.5703125" style="50" customWidth="1"/>
    <col min="8" max="8" width="14" style="50" customWidth="1"/>
    <col min="9" max="9" width="12.140625" style="50" customWidth="1"/>
    <col min="10" max="10" width="13.28515625" style="50" customWidth="1"/>
    <col min="11" max="11" width="11.28515625" style="50" customWidth="1"/>
    <col min="12" max="12" width="12.140625" style="50" customWidth="1"/>
    <col min="13" max="13" width="12.5703125" style="50" customWidth="1"/>
    <col min="14" max="14" width="16.28515625" style="50" customWidth="1"/>
    <col min="15" max="15" width="19.42578125" style="50" customWidth="1"/>
    <col min="16" max="16" width="20.42578125" style="50" customWidth="1"/>
    <col min="17" max="17" width="18.28515625" style="50" customWidth="1"/>
    <col min="18" max="18" width="19.7109375" style="50" customWidth="1"/>
    <col min="19" max="19" width="23.42578125" style="50" customWidth="1"/>
    <col min="20" max="20" width="15" style="50" customWidth="1"/>
    <col min="21" max="21" width="21.28515625" style="50" customWidth="1"/>
    <col min="22" max="22" width="18.7109375" style="432" customWidth="1"/>
    <col min="23" max="23" width="15.5703125" style="50" customWidth="1"/>
    <col min="24" max="24" width="18.7109375" style="50" customWidth="1"/>
    <col min="25" max="25" width="20.28515625" style="50" customWidth="1"/>
    <col min="26" max="16384" width="9.140625" style="50"/>
  </cols>
  <sheetData>
    <row r="2" spans="2:25" ht="15.75">
      <c r="B2" s="2075" t="s">
        <v>0</v>
      </c>
      <c r="C2" s="2075"/>
      <c r="D2" s="2075"/>
      <c r="E2" s="2075"/>
      <c r="F2" s="2075"/>
      <c r="G2" s="2075"/>
      <c r="H2" s="2075"/>
      <c r="I2" s="2075"/>
      <c r="J2" s="2075"/>
      <c r="K2" s="2075"/>
      <c r="L2" s="2075"/>
      <c r="M2" s="2075"/>
      <c r="N2" s="2075"/>
      <c r="O2" s="433"/>
      <c r="P2" s="433"/>
      <c r="Q2" s="433"/>
      <c r="R2" s="433"/>
      <c r="S2" s="433"/>
      <c r="T2" s="433"/>
      <c r="U2" s="433"/>
      <c r="V2" s="454"/>
      <c r="W2" s="434"/>
      <c r="X2" s="434"/>
      <c r="Y2" s="434"/>
    </row>
    <row r="3" spans="2:25" ht="15.75">
      <c r="B3" s="2075" t="s">
        <v>1545</v>
      </c>
      <c r="C3" s="2075"/>
      <c r="D3" s="2075"/>
      <c r="E3" s="2075"/>
      <c r="F3" s="2075"/>
      <c r="G3" s="2075"/>
      <c r="H3" s="2075"/>
      <c r="I3" s="2075"/>
      <c r="J3" s="2075"/>
      <c r="K3" s="2075"/>
      <c r="L3" s="2075"/>
      <c r="M3" s="2075"/>
      <c r="N3" s="2075"/>
      <c r="O3" s="433"/>
      <c r="P3" s="433"/>
      <c r="Q3" s="433"/>
      <c r="R3" s="433"/>
      <c r="S3" s="433"/>
      <c r="T3" s="433"/>
      <c r="U3" s="433"/>
      <c r="V3" s="454"/>
      <c r="W3" s="434"/>
      <c r="X3" s="434"/>
      <c r="Y3" s="434"/>
    </row>
    <row r="4" spans="2:25" ht="15.75">
      <c r="B4" s="2075" t="s">
        <v>768</v>
      </c>
      <c r="C4" s="2075"/>
      <c r="D4" s="2075"/>
      <c r="E4" s="2075"/>
      <c r="F4" s="2075"/>
      <c r="G4" s="2075"/>
      <c r="H4" s="2075"/>
      <c r="I4" s="2075"/>
      <c r="J4" s="2075"/>
      <c r="K4" s="2075"/>
      <c r="L4" s="2075"/>
      <c r="M4" s="2075"/>
      <c r="N4" s="2075"/>
      <c r="O4" s="433"/>
      <c r="P4" s="433"/>
      <c r="Q4" s="433"/>
      <c r="R4" s="433"/>
      <c r="S4" s="433"/>
      <c r="T4" s="433"/>
      <c r="U4" s="433"/>
      <c r="V4" s="50"/>
      <c r="W4" s="434"/>
      <c r="X4" s="434"/>
      <c r="Y4" s="434"/>
    </row>
    <row r="5" spans="2:25" ht="15.75">
      <c r="B5" s="434"/>
      <c r="C5" s="434"/>
      <c r="D5" s="434"/>
      <c r="E5" s="434"/>
      <c r="F5" s="434"/>
      <c r="G5" s="434"/>
      <c r="H5" s="234"/>
      <c r="I5" s="434"/>
      <c r="J5" s="434"/>
      <c r="K5" s="434"/>
      <c r="L5" s="434"/>
      <c r="M5" s="434"/>
      <c r="N5" s="234" t="s">
        <v>3</v>
      </c>
      <c r="O5" s="434"/>
      <c r="P5" s="434"/>
      <c r="Q5" s="434"/>
      <c r="R5" s="434"/>
      <c r="S5" s="434"/>
      <c r="T5" s="434"/>
      <c r="U5" s="455" t="s">
        <v>3</v>
      </c>
      <c r="V5" s="50"/>
      <c r="W5" s="434"/>
      <c r="X5" s="434"/>
      <c r="Y5" s="434"/>
    </row>
    <row r="6" spans="2:25" ht="12.75" customHeight="1">
      <c r="B6" s="2071" t="s">
        <v>1546</v>
      </c>
      <c r="C6" s="2071" t="s">
        <v>1547</v>
      </c>
      <c r="D6" s="2073" t="s">
        <v>1548</v>
      </c>
      <c r="E6" s="2073" t="s">
        <v>1549</v>
      </c>
      <c r="F6" s="2071" t="s">
        <v>1550</v>
      </c>
      <c r="G6" s="2073" t="s">
        <v>1551</v>
      </c>
      <c r="H6" s="2073" t="s">
        <v>1552</v>
      </c>
      <c r="I6" s="2071" t="s">
        <v>1553</v>
      </c>
      <c r="J6" s="2073" t="s">
        <v>1554</v>
      </c>
      <c r="K6" s="2071" t="s">
        <v>1555</v>
      </c>
      <c r="L6" s="2073" t="s">
        <v>1556</v>
      </c>
      <c r="M6" s="2073" t="s">
        <v>1557</v>
      </c>
      <c r="N6" s="2073" t="s">
        <v>1558</v>
      </c>
      <c r="O6" s="2071" t="s">
        <v>1559</v>
      </c>
      <c r="P6" s="2071" t="s">
        <v>1560</v>
      </c>
      <c r="Q6" s="2071" t="s">
        <v>1561</v>
      </c>
      <c r="R6" s="2073" t="s">
        <v>1562</v>
      </c>
      <c r="S6" s="2073" t="s">
        <v>1563</v>
      </c>
      <c r="T6" s="2073" t="s">
        <v>1557</v>
      </c>
      <c r="U6" s="2073" t="s">
        <v>9</v>
      </c>
      <c r="V6" s="50"/>
      <c r="W6" s="456"/>
      <c r="X6" s="456"/>
      <c r="Y6" s="456"/>
    </row>
    <row r="7" spans="2:25" ht="29.25" customHeight="1">
      <c r="B7" s="2072"/>
      <c r="C7" s="2072"/>
      <c r="D7" s="2074"/>
      <c r="E7" s="2074"/>
      <c r="F7" s="2072"/>
      <c r="G7" s="2074"/>
      <c r="H7" s="2074"/>
      <c r="I7" s="2072"/>
      <c r="J7" s="2074"/>
      <c r="K7" s="2072"/>
      <c r="L7" s="2074"/>
      <c r="M7" s="2074"/>
      <c r="N7" s="2074"/>
      <c r="O7" s="2072"/>
      <c r="P7" s="2072"/>
      <c r="Q7" s="2072"/>
      <c r="R7" s="2074"/>
      <c r="S7" s="2074"/>
      <c r="T7" s="2074"/>
      <c r="U7" s="2074"/>
      <c r="V7" s="50"/>
    </row>
    <row r="8" spans="2:25" ht="12.75" customHeight="1">
      <c r="B8" s="435"/>
      <c r="C8" s="436"/>
      <c r="D8" s="436"/>
      <c r="E8" s="437"/>
      <c r="F8" s="437"/>
      <c r="G8" s="437"/>
      <c r="H8" s="437"/>
      <c r="I8" s="437"/>
      <c r="J8" s="437"/>
      <c r="K8" s="437"/>
      <c r="L8" s="437"/>
      <c r="M8" s="437"/>
      <c r="N8" s="437"/>
      <c r="O8" s="437"/>
      <c r="P8" s="437"/>
      <c r="Q8" s="437"/>
      <c r="R8" s="437"/>
      <c r="S8" s="437"/>
      <c r="T8" s="437"/>
      <c r="U8" s="437"/>
      <c r="V8" s="50"/>
    </row>
    <row r="9" spans="2:25">
      <c r="B9" s="438">
        <v>1</v>
      </c>
      <c r="C9" s="436" t="s">
        <v>80</v>
      </c>
      <c r="D9" s="439">
        <v>1512319235</v>
      </c>
      <c r="E9" s="437"/>
      <c r="F9" s="437">
        <v>6600000</v>
      </c>
      <c r="G9" s="437"/>
      <c r="H9" s="437">
        <v>9930000</v>
      </c>
      <c r="I9" s="437"/>
      <c r="J9" s="437"/>
      <c r="K9" s="437"/>
      <c r="L9" s="437"/>
      <c r="M9" s="437"/>
      <c r="N9" s="437"/>
      <c r="O9" s="437"/>
      <c r="P9" s="451"/>
      <c r="Q9" s="437"/>
      <c r="R9" s="437"/>
      <c r="S9" s="437"/>
      <c r="T9" s="437"/>
      <c r="U9" s="457">
        <f t="shared" ref="U9:U45" si="0">SUM(D9:T9)</f>
        <v>1528849235</v>
      </c>
      <c r="V9" s="50"/>
    </row>
    <row r="10" spans="2:25" ht="12" customHeight="1">
      <c r="B10" s="438">
        <v>2</v>
      </c>
      <c r="C10" s="440" t="s">
        <v>29</v>
      </c>
      <c r="D10" s="441">
        <v>23240800</v>
      </c>
      <c r="E10" s="437"/>
      <c r="F10" s="442">
        <v>8798070</v>
      </c>
      <c r="G10" s="442">
        <v>486000</v>
      </c>
      <c r="H10" s="442">
        <v>10871165</v>
      </c>
      <c r="I10" s="442">
        <v>1660000</v>
      </c>
      <c r="J10" s="442"/>
      <c r="K10" s="442"/>
      <c r="L10" s="442"/>
      <c r="M10" s="442"/>
      <c r="N10" s="442"/>
      <c r="O10" s="442"/>
      <c r="P10" s="442">
        <v>4123490761.8299999</v>
      </c>
      <c r="Q10" s="442">
        <v>558521750</v>
      </c>
      <c r="R10" s="437"/>
      <c r="S10" s="442"/>
      <c r="T10" s="437">
        <v>1157087325</v>
      </c>
      <c r="U10" s="457">
        <f t="shared" si="0"/>
        <v>5884155871.8299999</v>
      </c>
      <c r="V10" s="50"/>
    </row>
    <row r="11" spans="2:25" ht="11.25" customHeight="1">
      <c r="B11" s="438">
        <v>3</v>
      </c>
      <c r="C11" s="443" t="s">
        <v>1564</v>
      </c>
      <c r="D11" s="441">
        <v>631000</v>
      </c>
      <c r="E11" s="437"/>
      <c r="F11" s="442">
        <v>380000</v>
      </c>
      <c r="G11" s="437"/>
      <c r="H11" s="437"/>
      <c r="I11" s="437"/>
      <c r="J11" s="442"/>
      <c r="K11" s="442"/>
      <c r="L11" s="442"/>
      <c r="M11" s="442"/>
      <c r="N11" s="442"/>
      <c r="O11" s="442"/>
      <c r="P11" s="442">
        <v>1270301097.05</v>
      </c>
      <c r="Q11" s="442">
        <v>1020025204.3200001</v>
      </c>
      <c r="R11" s="442">
        <v>1928086</v>
      </c>
      <c r="S11" s="437"/>
      <c r="T11" s="437"/>
      <c r="U11" s="457">
        <f t="shared" si="0"/>
        <v>2293265387.3699999</v>
      </c>
      <c r="V11" s="448"/>
    </row>
    <row r="12" spans="2:25">
      <c r="B12" s="438">
        <v>4</v>
      </c>
      <c r="C12" s="444" t="s">
        <v>1565</v>
      </c>
      <c r="D12" s="441">
        <v>38817700</v>
      </c>
      <c r="E12" s="437"/>
      <c r="F12" s="437"/>
      <c r="G12" s="437"/>
      <c r="H12" s="442">
        <v>27335635</v>
      </c>
      <c r="I12" s="437"/>
      <c r="J12" s="437"/>
      <c r="K12" s="437"/>
      <c r="L12" s="442">
        <v>74579400</v>
      </c>
      <c r="M12" s="437"/>
      <c r="N12" s="437"/>
      <c r="O12" s="437"/>
      <c r="P12" s="442">
        <v>3102311136.4099998</v>
      </c>
      <c r="Q12" s="442">
        <v>28768000</v>
      </c>
      <c r="R12" s="442">
        <v>12929975</v>
      </c>
      <c r="S12" s="437"/>
      <c r="T12" s="437"/>
      <c r="U12" s="457">
        <f t="shared" si="0"/>
        <v>3284741846.4099998</v>
      </c>
      <c r="V12" s="50"/>
    </row>
    <row r="13" spans="2:25">
      <c r="B13" s="438">
        <v>5</v>
      </c>
      <c r="C13" s="444" t="s">
        <v>1566</v>
      </c>
      <c r="D13" s="441">
        <v>1300950</v>
      </c>
      <c r="E13" s="437"/>
      <c r="F13" s="442">
        <v>275000</v>
      </c>
      <c r="G13" s="437"/>
      <c r="H13" s="442">
        <v>1047500</v>
      </c>
      <c r="I13" s="437"/>
      <c r="J13" s="442"/>
      <c r="K13" s="442"/>
      <c r="L13" s="442"/>
      <c r="M13" s="442"/>
      <c r="N13" s="442"/>
      <c r="O13" s="442"/>
      <c r="P13" s="437"/>
      <c r="Q13" s="437"/>
      <c r="R13" s="437"/>
      <c r="S13" s="442"/>
      <c r="T13" s="437">
        <v>21032260840</v>
      </c>
      <c r="U13" s="457">
        <f t="shared" si="0"/>
        <v>21034884290</v>
      </c>
      <c r="V13" s="50"/>
    </row>
    <row r="14" spans="2:25">
      <c r="B14" s="438">
        <v>6</v>
      </c>
      <c r="C14" s="444" t="s">
        <v>1567</v>
      </c>
      <c r="D14" s="441"/>
      <c r="E14" s="437"/>
      <c r="F14" s="437"/>
      <c r="G14" s="437"/>
      <c r="H14" s="437"/>
      <c r="I14" s="437"/>
      <c r="J14" s="437"/>
      <c r="K14" s="437"/>
      <c r="L14" s="437"/>
      <c r="M14" s="437"/>
      <c r="N14" s="437"/>
      <c r="O14" s="437"/>
      <c r="P14" s="437"/>
      <c r="Q14" s="437"/>
      <c r="R14" s="437"/>
      <c r="S14" s="442"/>
      <c r="T14" s="437">
        <v>16732168000</v>
      </c>
      <c r="U14" s="457">
        <f t="shared" si="0"/>
        <v>16732168000</v>
      </c>
      <c r="V14" s="50"/>
    </row>
    <row r="15" spans="2:25">
      <c r="B15" s="438">
        <v>7</v>
      </c>
      <c r="C15" s="444" t="s">
        <v>1568</v>
      </c>
      <c r="D15" s="441">
        <v>1310000</v>
      </c>
      <c r="E15" s="437"/>
      <c r="F15" s="442">
        <v>675000</v>
      </c>
      <c r="G15" s="437"/>
      <c r="H15" s="442">
        <v>210000</v>
      </c>
      <c r="I15" s="437"/>
      <c r="J15" s="442"/>
      <c r="K15" s="442">
        <v>-560000</v>
      </c>
      <c r="L15" s="442"/>
      <c r="M15" s="442"/>
      <c r="N15" s="442"/>
      <c r="O15" s="442"/>
      <c r="P15" s="437"/>
      <c r="Q15" s="437"/>
      <c r="R15" s="437"/>
      <c r="S15" s="437"/>
      <c r="T15" s="437"/>
      <c r="U15" s="457">
        <f t="shared" si="0"/>
        <v>1635000</v>
      </c>
      <c r="V15" s="50"/>
    </row>
    <row r="16" spans="2:25">
      <c r="B16" s="438">
        <v>8</v>
      </c>
      <c r="C16" s="444" t="s">
        <v>1569</v>
      </c>
      <c r="D16" s="441">
        <v>1118500</v>
      </c>
      <c r="E16" s="437"/>
      <c r="F16" s="437"/>
      <c r="G16" s="437"/>
      <c r="H16" s="437"/>
      <c r="I16" s="437"/>
      <c r="J16" s="437"/>
      <c r="K16" s="437"/>
      <c r="L16" s="437"/>
      <c r="M16" s="437"/>
      <c r="N16" s="437"/>
      <c r="O16" s="437"/>
      <c r="P16" s="437"/>
      <c r="Q16" s="437"/>
      <c r="R16" s="437"/>
      <c r="S16" s="437"/>
      <c r="T16" s="437"/>
      <c r="U16" s="457">
        <f t="shared" si="0"/>
        <v>1118500</v>
      </c>
      <c r="V16" s="50"/>
    </row>
    <row r="17" spans="2:22">
      <c r="B17" s="438">
        <v>9</v>
      </c>
      <c r="C17" s="444" t="s">
        <v>1570</v>
      </c>
      <c r="D17" s="441">
        <v>2665726</v>
      </c>
      <c r="E17" s="437"/>
      <c r="F17" s="437"/>
      <c r="G17" s="437" t="s">
        <v>1571</v>
      </c>
      <c r="H17" s="442">
        <v>962245</v>
      </c>
      <c r="I17" s="437"/>
      <c r="J17" s="437"/>
      <c r="K17" s="437"/>
      <c r="L17" s="437"/>
      <c r="M17" s="437"/>
      <c r="N17" s="437"/>
      <c r="O17" s="437"/>
      <c r="P17" s="437"/>
      <c r="Q17" s="437"/>
      <c r="R17" s="437"/>
      <c r="S17" s="442"/>
      <c r="T17" s="437">
        <v>1081391852</v>
      </c>
      <c r="U17" s="457">
        <f t="shared" si="0"/>
        <v>1085019823</v>
      </c>
      <c r="V17" s="50"/>
    </row>
    <row r="18" spans="2:22">
      <c r="B18" s="438">
        <v>10</v>
      </c>
      <c r="C18" s="444" t="s">
        <v>1572</v>
      </c>
      <c r="D18" s="441">
        <v>2510500</v>
      </c>
      <c r="E18" s="437"/>
      <c r="F18" s="442">
        <v>4318500</v>
      </c>
      <c r="G18" s="442">
        <v>363000</v>
      </c>
      <c r="H18" s="442">
        <v>1349500</v>
      </c>
      <c r="I18" s="437"/>
      <c r="J18" s="442"/>
      <c r="K18" s="442">
        <v>160000</v>
      </c>
      <c r="L18" s="442">
        <v>2701600</v>
      </c>
      <c r="M18" s="442"/>
      <c r="N18" s="442"/>
      <c r="O18" s="442"/>
      <c r="P18" s="437"/>
      <c r="Q18" s="437"/>
      <c r="R18" s="437"/>
      <c r="S18" s="437"/>
      <c r="T18" s="437"/>
      <c r="U18" s="457">
        <f t="shared" si="0"/>
        <v>11403100</v>
      </c>
      <c r="V18" s="50"/>
    </row>
    <row r="19" spans="2:22">
      <c r="B19" s="438">
        <v>11</v>
      </c>
      <c r="C19" s="444" t="s">
        <v>1573</v>
      </c>
      <c r="D19" s="441"/>
      <c r="E19" s="437"/>
      <c r="F19" s="442">
        <v>120000</v>
      </c>
      <c r="G19" s="437"/>
      <c r="H19" s="437"/>
      <c r="I19" s="437"/>
      <c r="J19" s="442"/>
      <c r="K19" s="442"/>
      <c r="L19" s="442"/>
      <c r="M19" s="442"/>
      <c r="N19" s="442"/>
      <c r="O19" s="442"/>
      <c r="P19" s="442">
        <v>153000</v>
      </c>
      <c r="Q19" s="437"/>
      <c r="R19" s="437"/>
      <c r="S19" s="437"/>
      <c r="T19" s="437"/>
      <c r="U19" s="457">
        <f t="shared" si="0"/>
        <v>273000</v>
      </c>
      <c r="V19" s="50"/>
    </row>
    <row r="20" spans="2:22">
      <c r="B20" s="438">
        <v>12</v>
      </c>
      <c r="C20" s="444" t="s">
        <v>1574</v>
      </c>
      <c r="D20" s="441">
        <v>26385560</v>
      </c>
      <c r="E20" s="437"/>
      <c r="F20" s="437"/>
      <c r="G20" s="437"/>
      <c r="H20" s="442">
        <v>3561000</v>
      </c>
      <c r="I20" s="437"/>
      <c r="J20" s="437"/>
      <c r="K20" s="437"/>
      <c r="L20" s="442">
        <v>2470000</v>
      </c>
      <c r="M20" s="437"/>
      <c r="N20" s="437"/>
      <c r="O20" s="437"/>
      <c r="P20" s="437"/>
      <c r="Q20" s="437"/>
      <c r="R20" s="437"/>
      <c r="S20" s="437"/>
      <c r="T20" s="437"/>
      <c r="U20" s="457">
        <f t="shared" si="0"/>
        <v>32416560</v>
      </c>
      <c r="V20" s="50"/>
    </row>
    <row r="21" spans="2:22">
      <c r="B21" s="438">
        <v>13</v>
      </c>
      <c r="C21" s="444" t="s">
        <v>1575</v>
      </c>
      <c r="D21" s="445">
        <v>4615000</v>
      </c>
      <c r="E21" s="437"/>
      <c r="F21" s="437"/>
      <c r="G21" s="442">
        <v>2100000</v>
      </c>
      <c r="H21" s="437"/>
      <c r="I21" s="437"/>
      <c r="J21" s="437"/>
      <c r="K21" s="437"/>
      <c r="L21" s="437"/>
      <c r="M21" s="437"/>
      <c r="N21" s="437"/>
      <c r="O21" s="437"/>
      <c r="P21" s="437"/>
      <c r="Q21" s="437"/>
      <c r="R21" s="437"/>
      <c r="S21" s="437"/>
      <c r="T21" s="437"/>
      <c r="U21" s="457">
        <f t="shared" si="0"/>
        <v>6715000</v>
      </c>
      <c r="V21" s="50"/>
    </row>
    <row r="22" spans="2:22">
      <c r="B22" s="438">
        <v>14</v>
      </c>
      <c r="C22" s="444" t="s">
        <v>99</v>
      </c>
      <c r="D22" s="445">
        <v>15505800</v>
      </c>
      <c r="E22" s="437"/>
      <c r="F22" s="442">
        <v>859000</v>
      </c>
      <c r="G22" s="437"/>
      <c r="H22" s="442">
        <v>2566996</v>
      </c>
      <c r="I22" s="437"/>
      <c r="J22" s="442"/>
      <c r="K22" s="442"/>
      <c r="L22" s="442">
        <v>1383333</v>
      </c>
      <c r="M22" s="442"/>
      <c r="N22" s="442"/>
      <c r="O22" s="442"/>
      <c r="P22" s="437"/>
      <c r="Q22" s="442">
        <v>407112724</v>
      </c>
      <c r="R22" s="437"/>
      <c r="S22" s="437"/>
      <c r="T22" s="437"/>
      <c r="U22" s="457">
        <f t="shared" si="0"/>
        <v>427427853</v>
      </c>
      <c r="V22" s="50"/>
    </row>
    <row r="23" spans="2:22">
      <c r="B23" s="438">
        <v>15</v>
      </c>
      <c r="C23" s="444" t="s">
        <v>1451</v>
      </c>
      <c r="D23" s="445">
        <v>2437000</v>
      </c>
      <c r="E23" s="437"/>
      <c r="F23" s="442">
        <v>79000</v>
      </c>
      <c r="G23" s="442">
        <v>210000</v>
      </c>
      <c r="H23" s="442">
        <v>430000</v>
      </c>
      <c r="I23" s="437"/>
      <c r="J23" s="442"/>
      <c r="K23" s="442"/>
      <c r="L23" s="442">
        <v>590000</v>
      </c>
      <c r="M23" s="442"/>
      <c r="N23" s="442"/>
      <c r="O23" s="442"/>
      <c r="P23" s="437"/>
      <c r="Q23" s="437"/>
      <c r="R23" s="442">
        <v>7650000</v>
      </c>
      <c r="S23" s="437"/>
      <c r="T23" s="437"/>
      <c r="U23" s="457">
        <f t="shared" si="0"/>
        <v>11396000</v>
      </c>
      <c r="V23" s="50"/>
    </row>
    <row r="24" spans="2:22">
      <c r="B24" s="438">
        <v>16</v>
      </c>
      <c r="C24" s="444" t="s">
        <v>1576</v>
      </c>
      <c r="D24" s="445">
        <v>7304000</v>
      </c>
      <c r="E24" s="437"/>
      <c r="F24" s="442">
        <v>1686000</v>
      </c>
      <c r="G24" s="437"/>
      <c r="H24" s="442">
        <v>2238000</v>
      </c>
      <c r="I24" s="437"/>
      <c r="J24" s="452">
        <v>2864000</v>
      </c>
      <c r="K24" s="442"/>
      <c r="L24" s="442"/>
      <c r="M24" s="442"/>
      <c r="N24" s="442"/>
      <c r="O24" s="442"/>
      <c r="P24" s="437"/>
      <c r="Q24" s="437"/>
      <c r="R24" s="437"/>
      <c r="S24" s="437"/>
      <c r="T24" s="437"/>
      <c r="U24" s="457">
        <f t="shared" si="0"/>
        <v>14092000</v>
      </c>
      <c r="V24" s="50"/>
    </row>
    <row r="25" spans="2:22">
      <c r="B25" s="438">
        <v>17</v>
      </c>
      <c r="C25" s="444" t="s">
        <v>1577</v>
      </c>
      <c r="D25" s="445">
        <v>2613000</v>
      </c>
      <c r="E25" s="437"/>
      <c r="F25" s="437"/>
      <c r="G25" s="437"/>
      <c r="H25" s="437"/>
      <c r="I25" s="437"/>
      <c r="J25" s="437"/>
      <c r="K25" s="437"/>
      <c r="L25" s="437"/>
      <c r="M25" s="437"/>
      <c r="N25" s="437"/>
      <c r="O25" s="437"/>
      <c r="P25" s="437"/>
      <c r="Q25" s="437"/>
      <c r="R25" s="437"/>
      <c r="S25" s="437"/>
      <c r="T25" s="437"/>
      <c r="U25" s="457">
        <f t="shared" si="0"/>
        <v>2613000</v>
      </c>
      <c r="V25" s="50"/>
    </row>
    <row r="26" spans="2:22">
      <c r="B26" s="438">
        <v>18</v>
      </c>
      <c r="C26" s="444" t="s">
        <v>1578</v>
      </c>
      <c r="D26" s="441"/>
      <c r="E26" s="437"/>
      <c r="F26" s="437"/>
      <c r="G26" s="437"/>
      <c r="H26" s="437"/>
      <c r="I26" s="437"/>
      <c r="J26" s="437"/>
      <c r="K26" s="437"/>
      <c r="L26" s="437"/>
      <c r="M26" s="437"/>
      <c r="N26" s="437"/>
      <c r="O26" s="437"/>
      <c r="P26" s="437"/>
      <c r="Q26" s="437"/>
      <c r="R26" s="437"/>
      <c r="S26" s="437"/>
      <c r="T26" s="437"/>
      <c r="U26" s="457">
        <f t="shared" si="0"/>
        <v>0</v>
      </c>
      <c r="V26" s="50"/>
    </row>
    <row r="27" spans="2:22">
      <c r="B27" s="438">
        <v>19</v>
      </c>
      <c r="C27" s="444" t="s">
        <v>1579</v>
      </c>
      <c r="D27" s="445">
        <v>8317000</v>
      </c>
      <c r="E27" s="442">
        <v>20250000</v>
      </c>
      <c r="F27" s="442">
        <v>3658000</v>
      </c>
      <c r="G27" s="437"/>
      <c r="H27" s="442">
        <v>6698000</v>
      </c>
      <c r="I27" s="437"/>
      <c r="J27" s="442"/>
      <c r="K27" s="442"/>
      <c r="L27" s="442">
        <v>98740184</v>
      </c>
      <c r="M27" s="442"/>
      <c r="N27" s="442"/>
      <c r="O27" s="442"/>
      <c r="P27" s="437"/>
      <c r="Q27" s="437"/>
      <c r="R27" s="437"/>
      <c r="S27" s="437"/>
      <c r="T27" s="437"/>
      <c r="U27" s="457">
        <f t="shared" si="0"/>
        <v>137663184</v>
      </c>
      <c r="V27" s="50"/>
    </row>
    <row r="28" spans="2:22">
      <c r="B28" s="438">
        <v>20</v>
      </c>
      <c r="C28" s="444" t="s">
        <v>1580</v>
      </c>
      <c r="D28" s="445">
        <v>739400</v>
      </c>
      <c r="E28" s="437"/>
      <c r="F28" s="442">
        <v>163000</v>
      </c>
      <c r="G28" s="437"/>
      <c r="H28" s="442">
        <v>1182000</v>
      </c>
      <c r="I28" s="437"/>
      <c r="J28" s="442"/>
      <c r="K28" s="442"/>
      <c r="L28" s="442">
        <v>1687500</v>
      </c>
      <c r="M28" s="442"/>
      <c r="N28" s="442"/>
      <c r="O28" s="442"/>
      <c r="P28" s="437"/>
      <c r="Q28" s="437"/>
      <c r="R28" s="437"/>
      <c r="S28" s="437"/>
      <c r="T28" s="437"/>
      <c r="U28" s="457">
        <f t="shared" si="0"/>
        <v>3771900</v>
      </c>
      <c r="V28" s="50"/>
    </row>
    <row r="29" spans="2:22">
      <c r="B29" s="438">
        <v>21</v>
      </c>
      <c r="C29" s="444" t="s">
        <v>1447</v>
      </c>
      <c r="D29" s="445">
        <v>2040000</v>
      </c>
      <c r="E29" s="437"/>
      <c r="F29" s="437"/>
      <c r="G29" s="437"/>
      <c r="H29" s="437"/>
      <c r="I29" s="437"/>
      <c r="J29" s="437"/>
      <c r="K29" s="437"/>
      <c r="L29" s="437"/>
      <c r="M29" s="437"/>
      <c r="N29" s="442">
        <v>599208675</v>
      </c>
      <c r="O29" s="437"/>
      <c r="P29" s="437"/>
      <c r="Q29" s="437"/>
      <c r="R29" s="437"/>
      <c r="S29" s="442"/>
      <c r="T29" s="437">
        <v>74911200</v>
      </c>
      <c r="U29" s="457">
        <f t="shared" si="0"/>
        <v>676159875</v>
      </c>
      <c r="V29" s="50"/>
    </row>
    <row r="30" spans="2:22">
      <c r="B30" s="438">
        <v>22</v>
      </c>
      <c r="C30" s="444" t="s">
        <v>1581</v>
      </c>
      <c r="D30" s="441"/>
      <c r="E30" s="437"/>
      <c r="F30" s="437"/>
      <c r="G30" s="437"/>
      <c r="H30" s="437"/>
      <c r="I30" s="437"/>
      <c r="J30" s="437"/>
      <c r="K30" s="437"/>
      <c r="L30" s="437"/>
      <c r="M30" s="437"/>
      <c r="N30" s="437"/>
      <c r="O30" s="437"/>
      <c r="P30" s="437"/>
      <c r="Q30" s="437"/>
      <c r="R30" s="437"/>
      <c r="S30" s="437"/>
      <c r="T30" s="437"/>
      <c r="U30" s="457">
        <f t="shared" si="0"/>
        <v>0</v>
      </c>
      <c r="V30" s="50"/>
    </row>
    <row r="31" spans="2:22">
      <c r="B31" s="438">
        <v>23</v>
      </c>
      <c r="C31" s="444" t="s">
        <v>55</v>
      </c>
      <c r="D31" s="445">
        <v>19210916.670000002</v>
      </c>
      <c r="E31" s="437"/>
      <c r="F31" s="442">
        <v>3516000</v>
      </c>
      <c r="G31" s="442">
        <v>409000</v>
      </c>
      <c r="H31" s="442">
        <v>2675600</v>
      </c>
      <c r="I31" s="442">
        <v>3952000</v>
      </c>
      <c r="J31" s="442"/>
      <c r="K31" s="442">
        <v>165000</v>
      </c>
      <c r="L31" s="442">
        <v>1127500</v>
      </c>
      <c r="M31" s="442">
        <v>67893000</v>
      </c>
      <c r="N31" s="442"/>
      <c r="O31" s="442">
        <v>258064500</v>
      </c>
      <c r="P31" s="442">
        <v>7409073.7300000004</v>
      </c>
      <c r="Q31" s="442">
        <v>10821500</v>
      </c>
      <c r="R31" s="442">
        <v>142105000</v>
      </c>
      <c r="S31" s="437"/>
      <c r="T31" s="437"/>
      <c r="U31" s="457">
        <f t="shared" si="0"/>
        <v>517349090.39999998</v>
      </c>
      <c r="V31" s="50"/>
    </row>
    <row r="32" spans="2:22">
      <c r="B32" s="438">
        <v>24</v>
      </c>
      <c r="C32" s="444" t="s">
        <v>1582</v>
      </c>
      <c r="D32" s="445">
        <v>625000</v>
      </c>
      <c r="E32" s="437"/>
      <c r="F32" s="442">
        <v>392000</v>
      </c>
      <c r="G32" s="437"/>
      <c r="H32" s="437"/>
      <c r="I32" s="437"/>
      <c r="J32" s="442"/>
      <c r="K32" s="442"/>
      <c r="L32" s="442"/>
      <c r="M32" s="442"/>
      <c r="N32" s="442">
        <v>147365000</v>
      </c>
      <c r="O32" s="442">
        <v>1617616000</v>
      </c>
      <c r="P32" s="442">
        <v>220887289</v>
      </c>
      <c r="Q32" s="442">
        <v>414171160</v>
      </c>
      <c r="R32" s="442">
        <v>25408125</v>
      </c>
      <c r="S32" s="437"/>
      <c r="T32" s="437"/>
      <c r="U32" s="457">
        <f t="shared" si="0"/>
        <v>2426464574</v>
      </c>
      <c r="V32" s="50"/>
    </row>
    <row r="33" spans="1:25">
      <c r="B33" s="438">
        <v>25</v>
      </c>
      <c r="C33" s="444" t="s">
        <v>100</v>
      </c>
      <c r="D33" s="445">
        <v>2577500</v>
      </c>
      <c r="E33" s="437"/>
      <c r="F33" s="442">
        <v>751000</v>
      </c>
      <c r="G33" s="442">
        <v>1050000</v>
      </c>
      <c r="H33" s="442">
        <v>1179000</v>
      </c>
      <c r="I33" s="437"/>
      <c r="J33" s="442"/>
      <c r="K33" s="442"/>
      <c r="L33" s="442"/>
      <c r="M33" s="442"/>
      <c r="N33" s="442"/>
      <c r="O33" s="442"/>
      <c r="P33" s="437"/>
      <c r="Q33" s="437"/>
      <c r="R33" s="437"/>
      <c r="S33" s="437"/>
      <c r="T33" s="437"/>
      <c r="U33" s="457">
        <f t="shared" si="0"/>
        <v>5557500</v>
      </c>
      <c r="V33" s="50"/>
    </row>
    <row r="34" spans="1:25">
      <c r="B34" s="438">
        <v>26</v>
      </c>
      <c r="C34" s="444" t="s">
        <v>1453</v>
      </c>
      <c r="D34" s="445">
        <v>23666500</v>
      </c>
      <c r="E34" s="437"/>
      <c r="F34" s="442">
        <v>14400000</v>
      </c>
      <c r="G34" s="442">
        <v>591000</v>
      </c>
      <c r="H34" s="437"/>
      <c r="I34" s="437"/>
      <c r="J34" s="442"/>
      <c r="K34" s="442"/>
      <c r="L34" s="442"/>
      <c r="M34" s="442"/>
      <c r="N34" s="442"/>
      <c r="O34" s="442"/>
      <c r="P34" s="437"/>
      <c r="Q34" s="437"/>
      <c r="R34" s="437"/>
      <c r="S34" s="437"/>
      <c r="T34" s="437"/>
      <c r="U34" s="457">
        <f t="shared" si="0"/>
        <v>38657500</v>
      </c>
      <c r="V34" s="50"/>
    </row>
    <row r="35" spans="1:25">
      <c r="B35" s="438">
        <v>27</v>
      </c>
      <c r="C35" s="444" t="s">
        <v>44</v>
      </c>
      <c r="D35" s="445">
        <v>97108100</v>
      </c>
      <c r="E35" s="437"/>
      <c r="F35" s="437"/>
      <c r="G35" s="437"/>
      <c r="H35" s="437"/>
      <c r="I35" s="437"/>
      <c r="J35" s="437"/>
      <c r="K35" s="437"/>
      <c r="L35" s="437"/>
      <c r="M35" s="437"/>
      <c r="N35" s="437"/>
      <c r="O35" s="437"/>
      <c r="P35" s="437"/>
      <c r="Q35" s="437"/>
      <c r="R35" s="437"/>
      <c r="S35" s="437"/>
      <c r="T35" s="437"/>
      <c r="U35" s="457">
        <f t="shared" si="0"/>
        <v>97108100</v>
      </c>
      <c r="V35" s="50"/>
    </row>
    <row r="36" spans="1:25">
      <c r="B36" s="438">
        <v>28</v>
      </c>
      <c r="C36" s="444" t="s">
        <v>1583</v>
      </c>
      <c r="D36" s="445">
        <v>2390000</v>
      </c>
      <c r="E36" s="437"/>
      <c r="F36" s="437"/>
      <c r="G36" s="437"/>
      <c r="H36" s="437"/>
      <c r="I36" s="437"/>
      <c r="J36" s="437"/>
      <c r="K36" s="437"/>
      <c r="L36" s="437"/>
      <c r="M36" s="437"/>
      <c r="N36" s="437"/>
      <c r="O36" s="437"/>
      <c r="P36" s="437"/>
      <c r="Q36" s="437"/>
      <c r="R36" s="437"/>
      <c r="S36" s="437"/>
      <c r="T36" s="437"/>
      <c r="U36" s="457">
        <f t="shared" si="0"/>
        <v>2390000</v>
      </c>
      <c r="V36" s="50"/>
    </row>
    <row r="37" spans="1:25">
      <c r="B37" s="438">
        <v>29</v>
      </c>
      <c r="C37" s="444" t="s">
        <v>1584</v>
      </c>
      <c r="D37" s="445">
        <v>289452009.58999997</v>
      </c>
      <c r="E37" s="442">
        <v>221480500</v>
      </c>
      <c r="F37" s="437"/>
      <c r="G37" s="437"/>
      <c r="H37" s="437"/>
      <c r="I37" s="437"/>
      <c r="J37" s="437"/>
      <c r="K37" s="437"/>
      <c r="L37" s="442">
        <v>48221500</v>
      </c>
      <c r="M37" s="437"/>
      <c r="N37" s="437"/>
      <c r="O37" s="437"/>
      <c r="P37" s="437"/>
      <c r="Q37" s="437"/>
      <c r="R37" s="442">
        <v>399500</v>
      </c>
      <c r="S37" s="437"/>
      <c r="T37" s="437"/>
      <c r="U37" s="457">
        <f t="shared" si="0"/>
        <v>559553509.59000003</v>
      </c>
      <c r="V37" s="50"/>
    </row>
    <row r="38" spans="1:25" ht="14.25" customHeight="1">
      <c r="B38" s="438">
        <v>30</v>
      </c>
      <c r="C38" s="440" t="s">
        <v>1585</v>
      </c>
      <c r="D38" s="445">
        <v>1218500</v>
      </c>
      <c r="E38" s="437"/>
      <c r="F38" s="437"/>
      <c r="G38" s="437"/>
      <c r="H38" s="442">
        <v>832000</v>
      </c>
      <c r="I38" s="442">
        <v>2568000</v>
      </c>
      <c r="J38" s="437"/>
      <c r="K38" s="437"/>
      <c r="L38" s="437"/>
      <c r="M38" s="437"/>
      <c r="N38" s="437"/>
      <c r="O38" s="437"/>
      <c r="P38" s="437"/>
      <c r="Q38" s="437"/>
      <c r="R38" s="437"/>
      <c r="S38" s="437"/>
      <c r="T38" s="437"/>
      <c r="U38" s="457">
        <f t="shared" si="0"/>
        <v>4618500</v>
      </c>
      <c r="V38" s="50"/>
    </row>
    <row r="39" spans="1:25" ht="11.25" customHeight="1">
      <c r="B39" s="438">
        <v>31</v>
      </c>
      <c r="C39" s="435" t="s">
        <v>1586</v>
      </c>
      <c r="D39" s="445">
        <v>5251000</v>
      </c>
      <c r="E39" s="437"/>
      <c r="F39" s="437"/>
      <c r="G39" s="437"/>
      <c r="H39" s="437"/>
      <c r="I39" s="437"/>
      <c r="J39" s="437"/>
      <c r="K39" s="437"/>
      <c r="L39" s="437"/>
      <c r="M39" s="437"/>
      <c r="N39" s="437"/>
      <c r="O39" s="437"/>
      <c r="P39" s="437"/>
      <c r="Q39" s="437"/>
      <c r="R39" s="437"/>
      <c r="S39" s="437"/>
      <c r="T39" s="437"/>
      <c r="U39" s="457">
        <f t="shared" si="0"/>
        <v>5251000</v>
      </c>
      <c r="V39" s="50"/>
    </row>
    <row r="40" spans="1:25">
      <c r="B40" s="438">
        <v>32</v>
      </c>
      <c r="C40" s="444" t="s">
        <v>1587</v>
      </c>
      <c r="D40" s="445">
        <v>87882200</v>
      </c>
      <c r="E40" s="437"/>
      <c r="F40" s="442">
        <v>47254570</v>
      </c>
      <c r="G40" s="437"/>
      <c r="H40" s="437"/>
      <c r="I40" s="437"/>
      <c r="J40" s="442"/>
      <c r="K40" s="442"/>
      <c r="L40" s="442"/>
      <c r="M40" s="442"/>
      <c r="N40" s="442"/>
      <c r="O40" s="442"/>
      <c r="P40" s="437"/>
      <c r="Q40" s="437"/>
      <c r="R40" s="437"/>
      <c r="S40" s="442"/>
      <c r="T40" s="437">
        <v>198195000</v>
      </c>
      <c r="U40" s="457">
        <f t="shared" si="0"/>
        <v>333331770</v>
      </c>
      <c r="V40" s="50"/>
    </row>
    <row r="41" spans="1:25" ht="14.25" customHeight="1">
      <c r="B41" s="438">
        <v>33</v>
      </c>
      <c r="C41" s="440" t="s">
        <v>1588</v>
      </c>
      <c r="D41" s="445">
        <v>4039550</v>
      </c>
      <c r="E41" s="437"/>
      <c r="F41" s="442">
        <v>11327000</v>
      </c>
      <c r="G41" s="437"/>
      <c r="H41" s="442">
        <v>133003400</v>
      </c>
      <c r="I41" s="437"/>
      <c r="J41" s="442"/>
      <c r="K41" s="442"/>
      <c r="L41" s="442"/>
      <c r="M41" s="442"/>
      <c r="N41" s="442"/>
      <c r="O41" s="442"/>
      <c r="P41" s="441"/>
      <c r="Q41" s="437"/>
      <c r="R41" s="437"/>
      <c r="S41" s="437"/>
      <c r="T41" s="437"/>
      <c r="U41" s="457">
        <f t="shared" si="0"/>
        <v>148369950</v>
      </c>
      <c r="V41" s="50"/>
    </row>
    <row r="42" spans="1:25" ht="12.75" customHeight="1">
      <c r="B42" s="438">
        <v>34</v>
      </c>
      <c r="C42" s="440" t="s">
        <v>50</v>
      </c>
      <c r="D42" s="445">
        <v>2504250</v>
      </c>
      <c r="E42" s="437"/>
      <c r="F42" s="442">
        <v>4562640</v>
      </c>
      <c r="G42" s="437"/>
      <c r="H42" s="442">
        <v>6716404</v>
      </c>
      <c r="I42" s="437"/>
      <c r="J42" s="442"/>
      <c r="K42" s="442"/>
      <c r="L42" s="442"/>
      <c r="M42" s="442"/>
      <c r="N42" s="442"/>
      <c r="O42" s="442"/>
      <c r="P42" s="451"/>
      <c r="Q42" s="437"/>
      <c r="R42" s="437"/>
      <c r="S42" s="442"/>
      <c r="T42" s="437">
        <v>39850000</v>
      </c>
      <c r="U42" s="457">
        <f t="shared" si="0"/>
        <v>53633294</v>
      </c>
      <c r="V42" s="50"/>
      <c r="W42" s="432"/>
      <c r="X42" s="432"/>
    </row>
    <row r="43" spans="1:25" ht="12.75" customHeight="1">
      <c r="B43" s="438">
        <v>35</v>
      </c>
      <c r="C43" s="440" t="s">
        <v>181</v>
      </c>
      <c r="D43" s="441"/>
      <c r="E43" s="437"/>
      <c r="F43" s="437"/>
      <c r="G43" s="437"/>
      <c r="H43" s="437"/>
      <c r="I43" s="437"/>
      <c r="J43" s="437"/>
      <c r="K43" s="437"/>
      <c r="L43" s="437"/>
      <c r="M43" s="437"/>
      <c r="N43" s="437"/>
      <c r="O43" s="437"/>
      <c r="P43" s="451"/>
      <c r="Q43" s="437"/>
      <c r="R43" s="437"/>
      <c r="S43" s="437"/>
      <c r="T43" s="437"/>
      <c r="U43" s="457">
        <f t="shared" si="0"/>
        <v>0</v>
      </c>
      <c r="V43" s="50"/>
      <c r="W43" s="432"/>
      <c r="X43" s="432"/>
    </row>
    <row r="44" spans="1:25">
      <c r="B44" s="440"/>
      <c r="C44" s="440"/>
      <c r="D44" s="436"/>
      <c r="E44" s="437"/>
      <c r="F44" s="437"/>
      <c r="G44" s="437"/>
      <c r="H44" s="437"/>
      <c r="I44" s="437"/>
      <c r="J44" s="437"/>
      <c r="K44" s="437"/>
      <c r="L44" s="437"/>
      <c r="M44" s="437"/>
      <c r="N44" s="437"/>
      <c r="O44" s="437"/>
      <c r="P44" s="437"/>
      <c r="Q44" s="437"/>
      <c r="R44" s="437"/>
      <c r="S44" s="437"/>
      <c r="T44" s="437"/>
      <c r="U44" s="457">
        <f t="shared" si="0"/>
        <v>0</v>
      </c>
      <c r="V44" s="50"/>
    </row>
    <row r="45" spans="1:25" s="431" customFormat="1" ht="12.75" customHeight="1">
      <c r="B45" s="2069" t="s">
        <v>9</v>
      </c>
      <c r="C45" s="2070"/>
      <c r="D45" s="446">
        <f>SUM(D9:D44)</f>
        <v>2189796697.2600002</v>
      </c>
      <c r="E45" s="447">
        <f t="shared" ref="E45:T45" si="1">SUM(E9:E44)</f>
        <v>241730500</v>
      </c>
      <c r="F45" s="447">
        <f t="shared" si="1"/>
        <v>109814780</v>
      </c>
      <c r="G45" s="447">
        <f t="shared" si="1"/>
        <v>5209000</v>
      </c>
      <c r="H45" s="447">
        <f t="shared" si="1"/>
        <v>212788445</v>
      </c>
      <c r="I45" s="447">
        <f t="shared" si="1"/>
        <v>8180000</v>
      </c>
      <c r="J45" s="447">
        <f t="shared" si="1"/>
        <v>2864000</v>
      </c>
      <c r="K45" s="447">
        <f t="shared" si="1"/>
        <v>-235000</v>
      </c>
      <c r="L45" s="447">
        <f t="shared" si="1"/>
        <v>231501017</v>
      </c>
      <c r="M45" s="447">
        <f t="shared" si="1"/>
        <v>67893000</v>
      </c>
      <c r="N45" s="447">
        <f t="shared" si="1"/>
        <v>746573675</v>
      </c>
      <c r="O45" s="447">
        <f t="shared" si="1"/>
        <v>1875680500</v>
      </c>
      <c r="P45" s="447">
        <f t="shared" si="1"/>
        <v>8724552358.0200005</v>
      </c>
      <c r="Q45" s="447">
        <f t="shared" si="1"/>
        <v>2439420338.3200002</v>
      </c>
      <c r="R45" s="447">
        <f t="shared" si="1"/>
        <v>190420686</v>
      </c>
      <c r="S45" s="447">
        <f t="shared" si="1"/>
        <v>0</v>
      </c>
      <c r="T45" s="447">
        <f t="shared" si="1"/>
        <v>40315864217</v>
      </c>
      <c r="U45" s="447">
        <f t="shared" si="0"/>
        <v>57362054213.599998</v>
      </c>
      <c r="V45" s="50"/>
    </row>
    <row r="46" spans="1:25" ht="13.5" customHeight="1">
      <c r="V46" s="50"/>
    </row>
    <row r="47" spans="1:25" s="432" customFormat="1">
      <c r="A47" s="50"/>
      <c r="B47" s="50"/>
      <c r="C47" s="50"/>
      <c r="D47" s="448"/>
      <c r="E47" s="448"/>
      <c r="F47" s="448"/>
      <c r="G47" s="448"/>
      <c r="H47" s="448"/>
      <c r="I47" s="448"/>
      <c r="J47" s="448"/>
      <c r="K47" s="448"/>
      <c r="L47" s="448"/>
      <c r="M47" s="448"/>
      <c r="N47" s="448"/>
      <c r="O47" s="448"/>
      <c r="P47" s="448"/>
      <c r="Q47" s="448"/>
      <c r="R47" s="448"/>
      <c r="S47" s="448"/>
      <c r="T47" s="50"/>
      <c r="U47" s="458"/>
      <c r="W47" s="50"/>
      <c r="X47" s="50"/>
      <c r="Y47" s="50"/>
    </row>
    <row r="48" spans="1:25" s="432" customFormat="1">
      <c r="A48" s="50"/>
      <c r="B48" s="50"/>
      <c r="C48" s="50"/>
      <c r="D48" s="50"/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W48" s="50"/>
      <c r="X48" s="50"/>
      <c r="Y48" s="50"/>
    </row>
    <row r="49" spans="1:25" s="432" customFormat="1">
      <c r="A49" s="50"/>
      <c r="B49" s="50"/>
      <c r="C49" s="50"/>
      <c r="D49" s="449"/>
      <c r="E49" s="50"/>
      <c r="F49" s="450"/>
      <c r="G49" s="50"/>
      <c r="H49" s="50"/>
      <c r="I49" s="50"/>
      <c r="J49" s="50"/>
      <c r="K49" s="50"/>
      <c r="L49" s="50"/>
      <c r="M49" s="50"/>
      <c r="N49" s="453"/>
      <c r="O49" s="50"/>
      <c r="P49" s="449"/>
      <c r="Q49" s="453"/>
      <c r="R49" s="50"/>
      <c r="S49" s="450"/>
      <c r="T49" s="50"/>
      <c r="U49" s="458"/>
      <c r="W49" s="50"/>
      <c r="X49" s="50"/>
      <c r="Y49" s="50"/>
    </row>
    <row r="50" spans="1:25" s="432" customFormat="1">
      <c r="A50" s="50"/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W50" s="50"/>
      <c r="X50" s="50"/>
      <c r="Y50" s="50"/>
    </row>
    <row r="51" spans="1:25" s="432" customFormat="1">
      <c r="A51" s="50"/>
      <c r="B51" s="50"/>
      <c r="C51" s="50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W51" s="50"/>
      <c r="X51" s="50"/>
      <c r="Y51" s="50"/>
    </row>
    <row r="52" spans="1:25" s="432" customFormat="1">
      <c r="A52" s="50"/>
      <c r="B52" s="50"/>
      <c r="C52" s="50"/>
      <c r="D52" s="50"/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W52" s="50"/>
      <c r="X52" s="50"/>
      <c r="Y52" s="50"/>
    </row>
  </sheetData>
  <mergeCells count="24">
    <mergeCell ref="S6:S7"/>
    <mergeCell ref="T6:T7"/>
    <mergeCell ref="U6:U7"/>
    <mergeCell ref="N6:N7"/>
    <mergeCell ref="O6:O7"/>
    <mergeCell ref="P6:P7"/>
    <mergeCell ref="Q6:Q7"/>
    <mergeCell ref="R6:R7"/>
    <mergeCell ref="B2:N2"/>
    <mergeCell ref="I6:I7"/>
    <mergeCell ref="J6:J7"/>
    <mergeCell ref="K6:K7"/>
    <mergeCell ref="L6:L7"/>
    <mergeCell ref="M6:M7"/>
    <mergeCell ref="F6:F7"/>
    <mergeCell ref="G6:G7"/>
    <mergeCell ref="H6:H7"/>
    <mergeCell ref="B4:N4"/>
    <mergeCell ref="B3:N3"/>
    <mergeCell ref="B45:C45"/>
    <mergeCell ref="B6:B7"/>
    <mergeCell ref="C6:C7"/>
    <mergeCell ref="D6:D7"/>
    <mergeCell ref="E6:E7"/>
  </mergeCells>
  <pageMargins left="1.2598425196850394" right="0.23622047244094491" top="0.77" bottom="0.74803149606299213" header="0.31496062992125984" footer="0.31496062992125984"/>
  <pageSetup scale="60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00B0F0"/>
  </sheetPr>
  <dimension ref="A1:W45"/>
  <sheetViews>
    <sheetView zoomScale="90" zoomScaleNormal="90" workbookViewId="0">
      <selection activeCell="D6" sqref="D6:D8"/>
    </sheetView>
  </sheetViews>
  <sheetFormatPr defaultColWidth="9.140625" defaultRowHeight="15"/>
  <cols>
    <col min="1" max="1" width="3.7109375" style="351" customWidth="1"/>
    <col min="2" max="2" width="34.42578125" style="352" customWidth="1"/>
    <col min="3" max="3" width="9.85546875" style="352" customWidth="1"/>
    <col min="4" max="4" width="20.42578125" style="352" customWidth="1"/>
    <col min="5" max="5" width="20.28515625" style="352" customWidth="1"/>
    <col min="6" max="6" width="21.5703125" style="352" customWidth="1"/>
    <col min="7" max="7" width="21.140625" style="352" customWidth="1"/>
    <col min="8" max="8" width="21.5703125" style="352" customWidth="1"/>
    <col min="9" max="9" width="28.85546875" style="352" customWidth="1"/>
    <col min="10" max="10" width="30.42578125" style="352" customWidth="1"/>
    <col min="11" max="11" width="4.85546875" style="352" customWidth="1"/>
    <col min="12" max="12" width="15.28515625" style="352" customWidth="1"/>
    <col min="13" max="14" width="12.85546875" style="352" customWidth="1"/>
    <col min="15" max="16384" width="9.140625" style="352"/>
  </cols>
  <sheetData>
    <row r="1" spans="1:23" s="346" customFormat="1" ht="15.75">
      <c r="A1" s="2076" t="s">
        <v>1464</v>
      </c>
      <c r="B1" s="2076"/>
      <c r="C1" s="2076"/>
      <c r="D1" s="2076"/>
      <c r="E1" s="2076"/>
      <c r="F1" s="2076"/>
      <c r="G1" s="2076"/>
      <c r="H1" s="2076"/>
      <c r="I1" s="2076"/>
      <c r="J1" s="2076"/>
      <c r="K1" s="413"/>
      <c r="L1" s="413"/>
      <c r="M1" s="413"/>
      <c r="N1" s="413"/>
      <c r="O1" s="413"/>
      <c r="P1" s="413"/>
      <c r="Q1" s="413"/>
      <c r="R1" s="413"/>
      <c r="S1" s="413"/>
      <c r="T1" s="413"/>
      <c r="U1" s="413"/>
      <c r="V1" s="413"/>
      <c r="W1" s="430"/>
    </row>
    <row r="2" spans="1:23" s="346" customFormat="1" ht="15.75">
      <c r="A2" s="2076" t="s">
        <v>1589</v>
      </c>
      <c r="B2" s="2076"/>
      <c r="C2" s="2076"/>
      <c r="D2" s="2076"/>
      <c r="E2" s="2076"/>
      <c r="F2" s="2076"/>
      <c r="G2" s="2076"/>
      <c r="H2" s="2076"/>
      <c r="I2" s="2076"/>
      <c r="J2" s="2076"/>
      <c r="K2" s="413"/>
      <c r="L2" s="413"/>
      <c r="M2" s="413"/>
      <c r="N2" s="413"/>
      <c r="O2" s="413"/>
      <c r="P2" s="413"/>
      <c r="Q2" s="413"/>
      <c r="R2" s="413"/>
      <c r="S2" s="413"/>
      <c r="T2" s="413"/>
      <c r="U2" s="413"/>
      <c r="V2" s="413"/>
      <c r="W2" s="430"/>
    </row>
    <row r="3" spans="1:23" s="346" customFormat="1" ht="15.75">
      <c r="A3" s="2077" t="s">
        <v>768</v>
      </c>
      <c r="B3" s="2077"/>
      <c r="C3" s="2077"/>
      <c r="D3" s="2077"/>
      <c r="E3" s="2077"/>
      <c r="F3" s="2077"/>
      <c r="G3" s="2077"/>
      <c r="H3" s="2077"/>
      <c r="I3" s="2077"/>
      <c r="J3" s="2077"/>
      <c r="K3" s="414"/>
      <c r="L3" s="414"/>
      <c r="M3" s="414"/>
      <c r="N3" s="414"/>
      <c r="O3" s="414"/>
      <c r="P3" s="414"/>
      <c r="Q3" s="414"/>
      <c r="R3" s="413"/>
      <c r="S3" s="413"/>
      <c r="T3" s="413"/>
    </row>
    <row r="4" spans="1:23" s="347" customFormat="1" ht="15.75">
      <c r="A4" s="353"/>
      <c r="B4" s="353"/>
      <c r="C4" s="353"/>
      <c r="D4" s="353"/>
      <c r="E4" s="353"/>
      <c r="F4" s="353"/>
      <c r="G4" s="353"/>
      <c r="H4" s="353"/>
      <c r="I4" s="353"/>
      <c r="J4" s="353"/>
      <c r="K4" s="354"/>
      <c r="L4" s="354"/>
      <c r="M4" s="354"/>
      <c r="N4" s="354"/>
      <c r="O4" s="354"/>
      <c r="P4" s="414"/>
      <c r="Q4" s="414"/>
      <c r="R4" s="414"/>
      <c r="S4" s="414"/>
      <c r="T4" s="414"/>
    </row>
    <row r="5" spans="1:23" s="346" customFormat="1">
      <c r="A5" s="354"/>
      <c r="B5" s="354"/>
      <c r="C5" s="354"/>
      <c r="D5" s="354"/>
      <c r="E5" s="354"/>
      <c r="F5" s="354"/>
      <c r="G5" s="354"/>
      <c r="H5" s="354"/>
      <c r="I5" s="354"/>
      <c r="J5" s="234" t="s">
        <v>3</v>
      </c>
      <c r="K5" s="354"/>
      <c r="L5" s="354"/>
      <c r="M5" s="354"/>
      <c r="N5" s="354"/>
      <c r="O5" s="354"/>
      <c r="P5" s="414"/>
      <c r="Q5" s="414"/>
      <c r="R5" s="413"/>
      <c r="S5" s="413"/>
      <c r="T5" s="413"/>
    </row>
    <row r="6" spans="1:23" ht="23.25" customHeight="1">
      <c r="A6" s="2082" t="s">
        <v>4</v>
      </c>
      <c r="B6" s="2082" t="s">
        <v>1590</v>
      </c>
      <c r="C6" s="2085" t="s">
        <v>1591</v>
      </c>
      <c r="D6" s="2085" t="s">
        <v>1592</v>
      </c>
      <c r="E6" s="2082" t="s">
        <v>1593</v>
      </c>
      <c r="F6" s="2085" t="s">
        <v>1594</v>
      </c>
      <c r="G6" s="2078" t="s">
        <v>1595</v>
      </c>
      <c r="H6" s="2079"/>
      <c r="I6" s="2079"/>
      <c r="J6" s="2088" t="s">
        <v>1596</v>
      </c>
      <c r="K6" s="415"/>
      <c r="L6" s="416"/>
    </row>
    <row r="7" spans="1:23" ht="36.75" customHeight="1">
      <c r="A7" s="2083"/>
      <c r="B7" s="2083"/>
      <c r="C7" s="2086"/>
      <c r="D7" s="2086"/>
      <c r="E7" s="2083"/>
      <c r="F7" s="2086"/>
      <c r="G7" s="356" t="s">
        <v>1597</v>
      </c>
      <c r="H7" s="357" t="s">
        <v>1598</v>
      </c>
      <c r="I7" s="357" t="s">
        <v>1599</v>
      </c>
      <c r="J7" s="2089"/>
      <c r="K7" s="415"/>
      <c r="L7" s="416"/>
    </row>
    <row r="8" spans="1:23" ht="24.75" customHeight="1">
      <c r="A8" s="2084"/>
      <c r="B8" s="2084"/>
      <c r="C8" s="2087"/>
      <c r="D8" s="2087"/>
      <c r="E8" s="2084"/>
      <c r="F8" s="2087"/>
      <c r="G8" s="358" t="s">
        <v>1600</v>
      </c>
      <c r="H8" s="358" t="s">
        <v>1600</v>
      </c>
      <c r="I8" s="358" t="s">
        <v>1600</v>
      </c>
      <c r="J8" s="358" t="s">
        <v>1600</v>
      </c>
      <c r="K8" s="415"/>
      <c r="L8" s="416"/>
    </row>
    <row r="9" spans="1:23" s="348" customFormat="1" ht="14.25" customHeight="1">
      <c r="A9" s="359">
        <v>1</v>
      </c>
      <c r="B9" s="359">
        <v>2</v>
      </c>
      <c r="C9" s="360">
        <v>3</v>
      </c>
      <c r="D9" s="359">
        <v>4</v>
      </c>
      <c r="E9" s="359">
        <v>5</v>
      </c>
      <c r="F9" s="360" t="s">
        <v>1601</v>
      </c>
      <c r="G9" s="361">
        <v>7</v>
      </c>
      <c r="H9" s="362">
        <v>8</v>
      </c>
      <c r="I9" s="362" t="s">
        <v>1602</v>
      </c>
      <c r="J9" s="417">
        <v>10</v>
      </c>
      <c r="K9" s="418"/>
      <c r="L9" s="419"/>
    </row>
    <row r="10" spans="1:23" s="349" customFormat="1" ht="39.75" customHeight="1">
      <c r="A10" s="363">
        <v>1</v>
      </c>
      <c r="B10" s="364" t="s">
        <v>1603</v>
      </c>
      <c r="C10" s="365">
        <v>375</v>
      </c>
      <c r="D10" s="366">
        <v>1452000000</v>
      </c>
      <c r="E10" s="366">
        <v>265500000</v>
      </c>
      <c r="F10" s="366">
        <f>D10+E10</f>
        <v>1717500000</v>
      </c>
      <c r="G10" s="367">
        <v>1131621574</v>
      </c>
      <c r="H10" s="367">
        <v>91717564</v>
      </c>
      <c r="I10" s="367">
        <f>G10+H10</f>
        <v>1223339138</v>
      </c>
      <c r="J10" s="420">
        <f>F10-I10</f>
        <v>494160862</v>
      </c>
      <c r="K10" s="421"/>
      <c r="L10" s="422"/>
    </row>
    <row r="11" spans="1:23" s="349" customFormat="1" ht="24.75" customHeight="1">
      <c r="A11" s="355"/>
      <c r="B11" s="368" t="s">
        <v>1604</v>
      </c>
      <c r="C11" s="369"/>
      <c r="D11" s="370"/>
      <c r="E11" s="370"/>
      <c r="F11" s="370"/>
      <c r="G11" s="371"/>
      <c r="H11" s="371"/>
      <c r="I11" s="371"/>
      <c r="J11" s="371"/>
    </row>
    <row r="12" spans="1:23" s="349" customFormat="1" ht="24.75" customHeight="1">
      <c r="A12" s="355"/>
      <c r="B12" s="368" t="s">
        <v>1605</v>
      </c>
      <c r="C12" s="369"/>
      <c r="D12" s="370"/>
      <c r="E12" s="370"/>
      <c r="F12" s="370"/>
      <c r="G12" s="371"/>
      <c r="H12" s="371"/>
      <c r="I12" s="371"/>
      <c r="J12" s="371"/>
    </row>
    <row r="13" spans="1:23" s="349" customFormat="1" ht="36" customHeight="1">
      <c r="A13" s="372">
        <v>2</v>
      </c>
      <c r="B13" s="373" t="s">
        <v>1606</v>
      </c>
      <c r="C13" s="374">
        <v>391</v>
      </c>
      <c r="D13" s="375">
        <v>1912000000</v>
      </c>
      <c r="E13" s="375">
        <v>344160000</v>
      </c>
      <c r="F13" s="375">
        <f>D13+E13</f>
        <v>2256160000</v>
      </c>
      <c r="G13" s="376">
        <f>1363440061-6674910</f>
        <v>1356765151</v>
      </c>
      <c r="H13" s="376">
        <f>245445173-1201090</f>
        <v>244244083</v>
      </c>
      <c r="I13" s="376">
        <f>G13+H13</f>
        <v>1601009234</v>
      </c>
      <c r="J13" s="376">
        <f>F13-I13</f>
        <v>655150766</v>
      </c>
      <c r="L13" s="423"/>
    </row>
    <row r="14" spans="1:23" s="349" customFormat="1" ht="26.25" customHeight="1">
      <c r="A14" s="355"/>
      <c r="B14" s="377" t="s">
        <v>1607</v>
      </c>
      <c r="C14" s="378"/>
      <c r="D14" s="370"/>
      <c r="E14" s="370"/>
      <c r="F14" s="370"/>
      <c r="G14" s="371"/>
      <c r="H14" s="371"/>
      <c r="I14" s="371"/>
      <c r="J14" s="371"/>
      <c r="L14" s="423"/>
    </row>
    <row r="15" spans="1:23" s="349" customFormat="1" ht="26.25" customHeight="1">
      <c r="A15" s="355"/>
      <c r="B15" s="377" t="s">
        <v>1608</v>
      </c>
      <c r="C15" s="378"/>
      <c r="D15" s="370"/>
      <c r="E15" s="370"/>
      <c r="F15" s="370"/>
      <c r="G15" s="371"/>
      <c r="H15" s="371"/>
      <c r="I15" s="371"/>
      <c r="J15" s="371"/>
    </row>
    <row r="16" spans="1:23" s="349" customFormat="1" ht="35.25" customHeight="1">
      <c r="A16" s="379">
        <v>3</v>
      </c>
      <c r="B16" s="379" t="s">
        <v>1609</v>
      </c>
      <c r="C16" s="380">
        <v>433</v>
      </c>
      <c r="D16" s="381">
        <v>2145500000</v>
      </c>
      <c r="E16" s="381">
        <v>386212216</v>
      </c>
      <c r="F16" s="381">
        <f>D16+E16</f>
        <v>2531712216</v>
      </c>
      <c r="G16" s="382">
        <v>1871885075</v>
      </c>
      <c r="H16" s="382">
        <v>301951469</v>
      </c>
      <c r="I16" s="382">
        <f>G16+H16</f>
        <v>2173836544</v>
      </c>
      <c r="J16" s="382">
        <f>F16-I16</f>
        <v>357875672</v>
      </c>
      <c r="L16" s="424"/>
      <c r="M16" s="424"/>
      <c r="N16" s="424"/>
    </row>
    <row r="17" spans="1:13" s="349" customFormat="1" ht="24" customHeight="1">
      <c r="A17" s="378"/>
      <c r="B17" s="383" t="s">
        <v>1610</v>
      </c>
      <c r="C17" s="378"/>
      <c r="D17" s="370"/>
      <c r="E17" s="370"/>
      <c r="F17" s="370"/>
      <c r="G17" s="384"/>
      <c r="H17" s="384"/>
      <c r="I17" s="384"/>
      <c r="J17" s="384"/>
    </row>
    <row r="18" spans="1:13" s="349" customFormat="1" ht="24" customHeight="1">
      <c r="A18" s="378"/>
      <c r="B18" s="383" t="s">
        <v>1611</v>
      </c>
      <c r="C18" s="378"/>
      <c r="D18" s="370"/>
      <c r="E18" s="370"/>
      <c r="F18" s="370"/>
      <c r="G18" s="384"/>
      <c r="H18" s="384"/>
      <c r="I18" s="384"/>
      <c r="J18" s="384"/>
    </row>
    <row r="19" spans="1:13" s="349" customFormat="1" ht="24" customHeight="1">
      <c r="A19" s="378"/>
      <c r="B19" s="383" t="s">
        <v>1612</v>
      </c>
      <c r="C19" s="378"/>
      <c r="D19" s="370"/>
      <c r="E19" s="370"/>
      <c r="F19" s="370"/>
      <c r="G19" s="384"/>
      <c r="H19" s="384"/>
      <c r="I19" s="384"/>
      <c r="J19" s="384"/>
    </row>
    <row r="20" spans="1:13" s="349" customFormat="1" ht="27.75" customHeight="1">
      <c r="A20" s="2080" t="s">
        <v>1613</v>
      </c>
      <c r="B20" s="2080"/>
      <c r="C20" s="385">
        <f>C16+C13+C10</f>
        <v>1199</v>
      </c>
      <c r="D20" s="386">
        <f t="shared" ref="D20:J20" si="0">SUM(D10:D16)</f>
        <v>5509500000</v>
      </c>
      <c r="E20" s="386">
        <f t="shared" si="0"/>
        <v>995872216</v>
      </c>
      <c r="F20" s="387">
        <f t="shared" si="0"/>
        <v>6505372216</v>
      </c>
      <c r="G20" s="388">
        <f>SUM(G10:G19)</f>
        <v>4360271800</v>
      </c>
      <c r="H20" s="389">
        <f>SUM(H10:H19)</f>
        <v>637913116</v>
      </c>
      <c r="I20" s="389">
        <f>SUM(I10:I19)</f>
        <v>4998184916</v>
      </c>
      <c r="J20" s="389">
        <f t="shared" si="0"/>
        <v>1507187300</v>
      </c>
    </row>
    <row r="21" spans="1:13" ht="24" customHeight="1">
      <c r="A21" s="2093" t="s">
        <v>1614</v>
      </c>
      <c r="B21" s="2094"/>
      <c r="C21" s="390"/>
      <c r="D21" s="391"/>
      <c r="E21" s="391"/>
      <c r="F21" s="392"/>
      <c r="G21" s="393">
        <f>G20/D20*100</f>
        <v>79.140971050004495</v>
      </c>
      <c r="H21" s="393">
        <f>H20/E20*100</f>
        <v>64.055719775196494</v>
      </c>
      <c r="I21" s="393">
        <f>I20/F20*100</f>
        <v>76.831651595691</v>
      </c>
      <c r="J21" s="393">
        <f>J20/F20*100</f>
        <v>23.168348404309</v>
      </c>
    </row>
    <row r="23" spans="1:13" s="350" customFormat="1" ht="17.25" customHeight="1">
      <c r="A23" s="2095" t="s">
        <v>1615</v>
      </c>
      <c r="B23" s="2095"/>
    </row>
    <row r="24" spans="1:13" s="350" customFormat="1" ht="15" customHeight="1">
      <c r="A24" s="394" t="s">
        <v>1106</v>
      </c>
      <c r="B24" s="2090" t="s">
        <v>1616</v>
      </c>
      <c r="C24" s="2091"/>
      <c r="D24" s="2091"/>
      <c r="E24" s="2091"/>
      <c r="F24" s="2091"/>
      <c r="G24" s="396" t="s">
        <v>1617</v>
      </c>
      <c r="H24" s="2090" t="s">
        <v>1618</v>
      </c>
      <c r="I24" s="2092"/>
      <c r="J24" s="2092"/>
      <c r="K24" s="401"/>
      <c r="L24" s="401"/>
      <c r="M24" s="401"/>
    </row>
    <row r="25" spans="1:13" s="350" customFormat="1" ht="15" customHeight="1">
      <c r="A25" s="394"/>
      <c r="B25" s="2091"/>
      <c r="C25" s="2091"/>
      <c r="D25" s="2091"/>
      <c r="E25" s="2091"/>
      <c r="F25" s="2091"/>
      <c r="H25" s="2092"/>
      <c r="I25" s="2092"/>
      <c r="J25" s="2092"/>
      <c r="K25" s="401"/>
      <c r="L25" s="401"/>
      <c r="M25" s="401"/>
    </row>
    <row r="26" spans="1:13" s="350" customFormat="1" ht="3" customHeight="1">
      <c r="A26" s="394"/>
      <c r="B26" s="2091"/>
      <c r="C26" s="2091"/>
      <c r="D26" s="2091"/>
      <c r="E26" s="2091"/>
      <c r="F26" s="2091"/>
      <c r="G26" s="396"/>
      <c r="H26" s="2092"/>
      <c r="I26" s="2092"/>
      <c r="J26" s="2092"/>
      <c r="K26" s="394"/>
      <c r="L26" s="407"/>
      <c r="M26" s="407"/>
    </row>
    <row r="27" spans="1:13" s="350" customFormat="1" ht="15.75" customHeight="1">
      <c r="A27" s="397" t="s">
        <v>78</v>
      </c>
      <c r="B27" s="398" t="s">
        <v>1619</v>
      </c>
      <c r="C27" s="397" t="s">
        <v>1620</v>
      </c>
      <c r="D27" s="399" t="s">
        <v>1621</v>
      </c>
      <c r="G27" s="396"/>
      <c r="H27" s="2092"/>
      <c r="I27" s="2092"/>
      <c r="J27" s="2092"/>
      <c r="K27" s="394"/>
      <c r="M27" s="400"/>
    </row>
    <row r="28" spans="1:13" s="350" customFormat="1">
      <c r="A28" s="397" t="s">
        <v>81</v>
      </c>
      <c r="B28" s="398" t="s">
        <v>1622</v>
      </c>
      <c r="C28" s="397" t="s">
        <v>1623</v>
      </c>
      <c r="D28" s="399" t="s">
        <v>1624</v>
      </c>
      <c r="G28" s="396" t="s">
        <v>78</v>
      </c>
      <c r="H28" s="400" t="s">
        <v>1625</v>
      </c>
      <c r="I28" s="401"/>
      <c r="J28" s="401"/>
      <c r="K28" s="401"/>
      <c r="M28" s="400"/>
    </row>
    <row r="29" spans="1:13" s="350" customFormat="1">
      <c r="A29" s="397" t="s">
        <v>83</v>
      </c>
      <c r="B29" s="398" t="s">
        <v>1626</v>
      </c>
      <c r="C29" s="397" t="s">
        <v>1627</v>
      </c>
      <c r="D29" s="399" t="s">
        <v>1628</v>
      </c>
      <c r="G29" s="396" t="s">
        <v>81</v>
      </c>
      <c r="H29" s="400" t="s">
        <v>1629</v>
      </c>
      <c r="I29" s="401"/>
      <c r="J29" s="401"/>
      <c r="K29" s="401"/>
      <c r="M29" s="400"/>
    </row>
    <row r="30" spans="1:13" s="350" customFormat="1">
      <c r="A30" s="397" t="s">
        <v>92</v>
      </c>
      <c r="B30" s="398" t="s">
        <v>1630</v>
      </c>
      <c r="C30" s="397" t="s">
        <v>1631</v>
      </c>
      <c r="D30" s="399" t="s">
        <v>1632</v>
      </c>
      <c r="G30" s="396" t="s">
        <v>83</v>
      </c>
      <c r="H30" s="400" t="s">
        <v>1633</v>
      </c>
      <c r="I30" s="425"/>
      <c r="J30" s="425"/>
      <c r="K30" s="425"/>
      <c r="L30" s="426"/>
    </row>
    <row r="31" spans="1:13" s="350" customFormat="1">
      <c r="A31" s="397" t="s">
        <v>94</v>
      </c>
      <c r="B31" s="398" t="s">
        <v>1634</v>
      </c>
      <c r="C31" s="397" t="s">
        <v>1635</v>
      </c>
      <c r="D31" s="399" t="s">
        <v>1636</v>
      </c>
      <c r="G31" s="401"/>
      <c r="H31" s="401"/>
      <c r="I31" s="425"/>
      <c r="J31" s="425"/>
      <c r="K31" s="425"/>
    </row>
    <row r="32" spans="1:13" s="350" customFormat="1" ht="19.5" customHeight="1">
      <c r="A32" s="397" t="s">
        <v>97</v>
      </c>
      <c r="B32" s="398" t="s">
        <v>1637</v>
      </c>
      <c r="C32" s="397" t="s">
        <v>1638</v>
      </c>
      <c r="D32" s="399" t="s">
        <v>1639</v>
      </c>
      <c r="G32" s="402" t="s">
        <v>1640</v>
      </c>
      <c r="H32" s="2090" t="s">
        <v>1641</v>
      </c>
      <c r="I32" s="2090"/>
      <c r="J32" s="2090"/>
    </row>
    <row r="33" spans="1:10" s="350" customFormat="1">
      <c r="A33" s="397" t="s">
        <v>1642</v>
      </c>
      <c r="B33" s="398" t="s">
        <v>1643</v>
      </c>
      <c r="C33" s="397" t="s">
        <v>1644</v>
      </c>
      <c r="D33" s="399" t="s">
        <v>1645</v>
      </c>
      <c r="H33" s="2092"/>
      <c r="I33" s="2092"/>
      <c r="J33" s="2092"/>
    </row>
    <row r="34" spans="1:10" s="350" customFormat="1">
      <c r="A34" s="397" t="s">
        <v>1646</v>
      </c>
      <c r="B34" s="398" t="s">
        <v>1647</v>
      </c>
      <c r="C34" s="397" t="s">
        <v>1648</v>
      </c>
      <c r="D34" s="399" t="s">
        <v>1649</v>
      </c>
      <c r="E34" s="403"/>
      <c r="F34" s="403"/>
      <c r="G34" s="397"/>
      <c r="H34" s="399"/>
    </row>
    <row r="35" spans="1:10" s="350" customFormat="1">
      <c r="A35" s="397" t="s">
        <v>1650</v>
      </c>
      <c r="B35" s="398" t="s">
        <v>1651</v>
      </c>
      <c r="C35" s="397" t="s">
        <v>1652</v>
      </c>
      <c r="D35" s="399" t="s">
        <v>1653</v>
      </c>
      <c r="E35" s="403"/>
      <c r="F35" s="403"/>
      <c r="G35" s="397"/>
      <c r="H35" s="399"/>
      <c r="I35" s="2096"/>
      <c r="J35" s="2096"/>
    </row>
    <row r="36" spans="1:10" s="350" customFormat="1">
      <c r="A36" s="397" t="s">
        <v>1654</v>
      </c>
      <c r="B36" s="398" t="s">
        <v>1655</v>
      </c>
      <c r="C36" s="397" t="s">
        <v>1656</v>
      </c>
      <c r="D36" s="399" t="s">
        <v>1657</v>
      </c>
      <c r="E36" s="403"/>
      <c r="F36" s="403"/>
      <c r="G36" s="397"/>
      <c r="H36" s="399"/>
      <c r="I36" s="427" t="s">
        <v>1658</v>
      </c>
      <c r="J36" s="427"/>
    </row>
    <row r="37" spans="1:10" s="350" customFormat="1" ht="16.5" customHeight="1">
      <c r="A37" s="397" t="s">
        <v>1659</v>
      </c>
      <c r="B37" s="398" t="s">
        <v>1660</v>
      </c>
      <c r="C37" s="404"/>
      <c r="D37" s="398"/>
      <c r="E37" s="403"/>
      <c r="F37" s="403"/>
      <c r="G37" s="398"/>
      <c r="H37" s="405"/>
      <c r="I37" s="427" t="s">
        <v>1464</v>
      </c>
      <c r="J37" s="427"/>
    </row>
    <row r="38" spans="1:10" s="350" customFormat="1" ht="16.5" customHeight="1">
      <c r="A38" s="397" t="s">
        <v>1661</v>
      </c>
      <c r="B38" s="398" t="s">
        <v>1662</v>
      </c>
      <c r="C38" s="404"/>
      <c r="D38" s="398"/>
      <c r="E38" s="403"/>
      <c r="F38" s="403"/>
      <c r="G38" s="398"/>
      <c r="H38" s="405"/>
      <c r="I38" s="428"/>
      <c r="J38" s="428"/>
    </row>
    <row r="39" spans="1:10" s="350" customFormat="1" ht="16.5" customHeight="1">
      <c r="A39" s="397" t="s">
        <v>1663</v>
      </c>
      <c r="B39" s="398" t="s">
        <v>1664</v>
      </c>
      <c r="C39" s="404"/>
      <c r="D39" s="398"/>
      <c r="E39" s="403"/>
      <c r="F39" s="403"/>
      <c r="G39" s="398"/>
      <c r="H39" s="405"/>
      <c r="I39" s="428"/>
      <c r="J39" s="428"/>
    </row>
    <row r="40" spans="1:10" s="350" customFormat="1">
      <c r="A40" s="406"/>
      <c r="B40" s="395"/>
      <c r="C40" s="2097"/>
      <c r="D40" s="2097"/>
      <c r="E40" s="2097"/>
      <c r="F40" s="403"/>
      <c r="G40" s="403"/>
      <c r="H40" s="405"/>
      <c r="I40" s="428"/>
      <c r="J40" s="428"/>
    </row>
    <row r="41" spans="1:10" s="350" customFormat="1" ht="15.75" customHeight="1">
      <c r="A41" s="394"/>
      <c r="B41" s="407"/>
      <c r="C41" s="407"/>
      <c r="D41" s="407"/>
      <c r="E41" s="407"/>
      <c r="F41" s="408"/>
      <c r="G41" s="408"/>
      <c r="H41" s="408"/>
      <c r="I41" s="427" t="s">
        <v>1665</v>
      </c>
      <c r="J41" s="427"/>
    </row>
    <row r="42" spans="1:10" s="350" customFormat="1">
      <c r="A42" s="394"/>
      <c r="B42" s="407"/>
      <c r="C42" s="407"/>
      <c r="D42" s="407"/>
      <c r="E42" s="407"/>
      <c r="F42" s="408"/>
      <c r="G42" s="408"/>
      <c r="H42" s="408"/>
      <c r="I42" s="427" t="s">
        <v>1666</v>
      </c>
      <c r="J42" s="427"/>
    </row>
    <row r="43" spans="1:10">
      <c r="A43" s="409"/>
      <c r="B43" s="410"/>
      <c r="C43" s="411"/>
      <c r="D43" s="412"/>
      <c r="E43" s="412"/>
      <c r="F43" s="412"/>
      <c r="G43" s="412"/>
      <c r="H43" s="412"/>
      <c r="I43" s="429"/>
      <c r="J43" s="429"/>
    </row>
    <row r="44" spans="1:10">
      <c r="A44" s="409"/>
      <c r="B44" s="410"/>
      <c r="C44" s="411"/>
      <c r="D44" s="412"/>
      <c r="E44" s="412"/>
      <c r="F44" s="412"/>
      <c r="G44" s="412"/>
      <c r="H44" s="412"/>
      <c r="I44" s="2081"/>
      <c r="J44" s="2081"/>
    </row>
    <row r="45" spans="1:10">
      <c r="A45" s="409"/>
      <c r="B45" s="410"/>
      <c r="C45" s="411"/>
      <c r="D45" s="412"/>
      <c r="E45" s="412"/>
      <c r="F45" s="412"/>
      <c r="G45" s="412"/>
      <c r="H45" s="412"/>
      <c r="I45" s="2081"/>
      <c r="J45" s="2081"/>
    </row>
  </sheetData>
  <mergeCells count="21">
    <mergeCell ref="I45:J45"/>
    <mergeCell ref="A6:A8"/>
    <mergeCell ref="B6:B8"/>
    <mergeCell ref="C6:C8"/>
    <mergeCell ref="D6:D8"/>
    <mergeCell ref="E6:E8"/>
    <mergeCell ref="F6:F8"/>
    <mergeCell ref="J6:J7"/>
    <mergeCell ref="B24:F26"/>
    <mergeCell ref="H24:J27"/>
    <mergeCell ref="H32:J33"/>
    <mergeCell ref="A21:B21"/>
    <mergeCell ref="A23:B23"/>
    <mergeCell ref="I35:J35"/>
    <mergeCell ref="C40:E40"/>
    <mergeCell ref="I44:J44"/>
    <mergeCell ref="A1:J1"/>
    <mergeCell ref="A2:J2"/>
    <mergeCell ref="A3:J3"/>
    <mergeCell ref="G6:I6"/>
    <mergeCell ref="A20:B20"/>
  </mergeCells>
  <pageMargins left="2.65" right="0.70866141732283472" top="0.72" bottom="0.27559055118110237" header="0" footer="0"/>
  <pageSetup paperSize="5" scale="65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rgb="FF00B0F0"/>
  </sheetPr>
  <dimension ref="B2:N71"/>
  <sheetViews>
    <sheetView topLeftCell="B22" workbookViewId="0">
      <selection activeCell="B2" sqref="B2:M2"/>
    </sheetView>
  </sheetViews>
  <sheetFormatPr defaultColWidth="9.140625" defaultRowHeight="12.75"/>
  <cols>
    <col min="1" max="1" width="3" style="57" customWidth="1"/>
    <col min="2" max="2" width="4.42578125" style="57" customWidth="1"/>
    <col min="3" max="3" width="21.85546875" style="57" customWidth="1"/>
    <col min="4" max="4" width="45" style="57" customWidth="1"/>
    <col min="5" max="5" width="11.140625" style="57" customWidth="1"/>
    <col min="6" max="6" width="15" style="57" customWidth="1"/>
    <col min="7" max="7" width="15.5703125" style="57" customWidth="1"/>
    <col min="8" max="8" width="12.7109375" style="57" customWidth="1"/>
    <col min="9" max="9" width="14.42578125" style="57" customWidth="1"/>
    <col min="10" max="10" width="14" style="57" customWidth="1"/>
    <col min="11" max="11" width="15" style="57" customWidth="1"/>
    <col min="12" max="12" width="12.85546875" style="57" customWidth="1"/>
    <col min="13" max="13" width="11" style="57" customWidth="1"/>
    <col min="14" max="16384" width="9.140625" style="57"/>
  </cols>
  <sheetData>
    <row r="2" spans="2:13" ht="15">
      <c r="B2" s="2098" t="s">
        <v>1464</v>
      </c>
      <c r="C2" s="2098"/>
      <c r="D2" s="2098"/>
      <c r="E2" s="2098"/>
      <c r="F2" s="2098"/>
      <c r="G2" s="2098"/>
      <c r="H2" s="2098"/>
      <c r="I2" s="2098"/>
      <c r="J2" s="2098"/>
      <c r="K2" s="2098"/>
      <c r="L2" s="2098"/>
      <c r="M2" s="2098"/>
    </row>
    <row r="3" spans="2:13" ht="15">
      <c r="B3" s="2098" t="s">
        <v>1667</v>
      </c>
      <c r="C3" s="2098"/>
      <c r="D3" s="2098"/>
      <c r="E3" s="2098"/>
      <c r="F3" s="2098"/>
      <c r="G3" s="2098"/>
      <c r="H3" s="2098"/>
      <c r="I3" s="2098"/>
      <c r="J3" s="2098"/>
      <c r="K3" s="2098"/>
      <c r="L3" s="2098"/>
      <c r="M3" s="2098"/>
    </row>
    <row r="4" spans="2:13" ht="15">
      <c r="B4" s="2098" t="s">
        <v>2</v>
      </c>
      <c r="C4" s="2098"/>
      <c r="D4" s="2098"/>
      <c r="E4" s="2098"/>
      <c r="F4" s="2098"/>
      <c r="G4" s="2098"/>
      <c r="H4" s="2098"/>
      <c r="I4" s="2098"/>
      <c r="J4" s="2098"/>
      <c r="K4" s="2098"/>
      <c r="L4" s="2098"/>
      <c r="M4" s="2098"/>
    </row>
    <row r="5" spans="2:13">
      <c r="B5" s="238"/>
      <c r="C5" s="238"/>
      <c r="D5" s="238"/>
      <c r="E5" s="238"/>
      <c r="F5" s="238"/>
      <c r="G5" s="238"/>
      <c r="H5" s="238"/>
      <c r="I5" s="238"/>
      <c r="J5" s="238"/>
      <c r="K5" s="238"/>
      <c r="M5" s="57" t="s">
        <v>3</v>
      </c>
    </row>
    <row r="6" spans="2:13" s="235" customFormat="1" ht="13.5" customHeight="1">
      <c r="B6" s="2110" t="s">
        <v>1466</v>
      </c>
      <c r="C6" s="2101" t="s">
        <v>1668</v>
      </c>
      <c r="D6" s="2101" t="s">
        <v>1669</v>
      </c>
      <c r="E6" s="2101" t="s">
        <v>1670</v>
      </c>
      <c r="F6" s="2101" t="s">
        <v>1671</v>
      </c>
      <c r="G6" s="2101" t="s">
        <v>1672</v>
      </c>
      <c r="H6" s="2101" t="s">
        <v>1673</v>
      </c>
      <c r="I6" s="2101" t="s">
        <v>1674</v>
      </c>
      <c r="J6" s="2104" t="s">
        <v>1675</v>
      </c>
      <c r="K6" s="2101" t="s">
        <v>1676</v>
      </c>
      <c r="L6" s="2101" t="s">
        <v>1677</v>
      </c>
      <c r="M6" s="2107" t="s">
        <v>1678</v>
      </c>
    </row>
    <row r="7" spans="2:13" s="235" customFormat="1">
      <c r="B7" s="2111"/>
      <c r="C7" s="2102"/>
      <c r="D7" s="2102"/>
      <c r="E7" s="2102"/>
      <c r="F7" s="2102"/>
      <c r="G7" s="2102"/>
      <c r="H7" s="2102"/>
      <c r="I7" s="2102"/>
      <c r="J7" s="2105"/>
      <c r="K7" s="2102"/>
      <c r="L7" s="2102"/>
      <c r="M7" s="2108"/>
    </row>
    <row r="8" spans="2:13" s="235" customFormat="1">
      <c r="B8" s="2111"/>
      <c r="C8" s="2102"/>
      <c r="D8" s="2102"/>
      <c r="E8" s="2102"/>
      <c r="F8" s="2102"/>
      <c r="G8" s="2102"/>
      <c r="H8" s="2102"/>
      <c r="I8" s="2102"/>
      <c r="J8" s="2105"/>
      <c r="K8" s="2102"/>
      <c r="L8" s="2102"/>
      <c r="M8" s="2108"/>
    </row>
    <row r="9" spans="2:13" s="235" customFormat="1">
      <c r="B9" s="2111"/>
      <c r="C9" s="2102"/>
      <c r="D9" s="2102"/>
      <c r="E9" s="2102"/>
      <c r="F9" s="2102"/>
      <c r="G9" s="2102"/>
      <c r="H9" s="2102"/>
      <c r="I9" s="2102"/>
      <c r="J9" s="2105"/>
      <c r="K9" s="2102"/>
      <c r="L9" s="2102"/>
      <c r="M9" s="2108"/>
    </row>
    <row r="10" spans="2:13" s="235" customFormat="1" ht="39.75" customHeight="1">
      <c r="B10" s="2112"/>
      <c r="C10" s="2103"/>
      <c r="D10" s="2103"/>
      <c r="E10" s="2103"/>
      <c r="F10" s="2103"/>
      <c r="G10" s="2103"/>
      <c r="H10" s="2103"/>
      <c r="I10" s="2103"/>
      <c r="J10" s="2106"/>
      <c r="K10" s="2103"/>
      <c r="L10" s="2103"/>
      <c r="M10" s="2109"/>
    </row>
    <row r="11" spans="2:13" s="235" customFormat="1">
      <c r="B11" s="239">
        <v>1</v>
      </c>
      <c r="C11" s="240">
        <v>3</v>
      </c>
      <c r="D11" s="241">
        <v>4</v>
      </c>
      <c r="E11" s="241">
        <v>2</v>
      </c>
      <c r="F11" s="241">
        <v>5</v>
      </c>
      <c r="G11" s="241">
        <v>6</v>
      </c>
      <c r="H11" s="241">
        <v>7</v>
      </c>
      <c r="I11" s="241">
        <v>8</v>
      </c>
      <c r="J11" s="316">
        <v>9</v>
      </c>
      <c r="K11" s="241">
        <v>10</v>
      </c>
      <c r="L11" s="241">
        <v>11</v>
      </c>
      <c r="M11" s="317">
        <v>12</v>
      </c>
    </row>
    <row r="12" spans="2:13">
      <c r="B12" s="242"/>
      <c r="C12" s="243"/>
      <c r="D12" s="244"/>
      <c r="E12" s="245"/>
      <c r="F12" s="244"/>
      <c r="G12" s="245"/>
      <c r="H12" s="245"/>
      <c r="I12" s="245"/>
      <c r="J12" s="244"/>
      <c r="K12" s="245"/>
      <c r="L12" s="245"/>
      <c r="M12" s="318"/>
    </row>
    <row r="13" spans="2:13" ht="44.25" customHeight="1">
      <c r="B13" s="246">
        <v>1</v>
      </c>
      <c r="C13" s="247" t="s">
        <v>1679</v>
      </c>
      <c r="D13" s="248" t="s">
        <v>1680</v>
      </c>
      <c r="E13" s="249"/>
      <c r="F13" s="250"/>
      <c r="G13" s="251"/>
      <c r="H13" s="251"/>
      <c r="I13" s="251"/>
      <c r="J13" s="319"/>
      <c r="K13" s="251"/>
      <c r="L13" s="251"/>
      <c r="M13" s="320"/>
    </row>
    <row r="14" spans="2:13" ht="43.5" customHeight="1">
      <c r="B14" s="246"/>
      <c r="C14" s="247"/>
      <c r="D14" s="248" t="s">
        <v>1681</v>
      </c>
      <c r="E14" s="249">
        <v>2003</v>
      </c>
      <c r="F14" s="252">
        <v>1000000000</v>
      </c>
      <c r="G14" s="253">
        <v>40377000000</v>
      </c>
      <c r="H14" s="253">
        <v>0</v>
      </c>
      <c r="I14" s="253">
        <f>SUM(G14:H14)</f>
        <v>40377000000</v>
      </c>
      <c r="J14" s="321"/>
      <c r="K14" s="322">
        <f>SUM(I14)</f>
        <v>40377000000</v>
      </c>
      <c r="L14" s="323">
        <v>3.1E-2</v>
      </c>
      <c r="M14" s="324"/>
    </row>
    <row r="15" spans="2:13">
      <c r="B15" s="254">
        <v>2</v>
      </c>
      <c r="C15" s="255" t="s">
        <v>1682</v>
      </c>
      <c r="D15" s="256"/>
      <c r="E15" s="257">
        <v>2003</v>
      </c>
      <c r="F15" s="258">
        <v>100000000</v>
      </c>
      <c r="G15" s="259">
        <v>100000000</v>
      </c>
      <c r="H15" s="259">
        <v>0</v>
      </c>
      <c r="I15" s="259">
        <f>SUM(G15:H15)</f>
        <v>100000000</v>
      </c>
      <c r="J15" s="325">
        <v>0</v>
      </c>
      <c r="K15" s="326">
        <f>SUM(I15)</f>
        <v>100000000</v>
      </c>
      <c r="L15" s="327">
        <v>0.10009999999999999</v>
      </c>
      <c r="M15" s="1504" t="s">
        <v>926</v>
      </c>
    </row>
    <row r="16" spans="2:13">
      <c r="B16" s="260">
        <v>3</v>
      </c>
      <c r="C16" s="261" t="s">
        <v>1683</v>
      </c>
      <c r="D16" s="248"/>
      <c r="E16" s="262">
        <v>2003</v>
      </c>
      <c r="F16" s="258">
        <v>100000000</v>
      </c>
      <c r="G16" s="253">
        <v>100000000</v>
      </c>
      <c r="H16" s="253">
        <v>0</v>
      </c>
      <c r="I16" s="253">
        <f>SUM(G16:H16)</f>
        <v>100000000</v>
      </c>
      <c r="J16" s="321">
        <v>0</v>
      </c>
      <c r="K16" s="322">
        <f>SUM(I16)</f>
        <v>100000000</v>
      </c>
      <c r="L16" s="323">
        <v>6.6699999999999995E-2</v>
      </c>
      <c r="M16" s="1505" t="s">
        <v>926</v>
      </c>
    </row>
    <row r="17" spans="2:14" ht="27" customHeight="1">
      <c r="B17" s="246">
        <v>4</v>
      </c>
      <c r="C17" s="263" t="s">
        <v>1684</v>
      </c>
      <c r="D17" s="248" t="s">
        <v>1685</v>
      </c>
      <c r="E17" s="264"/>
      <c r="F17" s="265"/>
      <c r="G17" s="253"/>
      <c r="H17" s="253"/>
      <c r="I17" s="253"/>
      <c r="J17" s="321"/>
      <c r="K17" s="322"/>
      <c r="L17" s="323"/>
      <c r="M17" s="324"/>
    </row>
    <row r="18" spans="2:14" ht="28.5" customHeight="1">
      <c r="B18" s="246"/>
      <c r="C18" s="263"/>
      <c r="D18" s="266" t="s">
        <v>1686</v>
      </c>
      <c r="E18" s="264"/>
      <c r="F18" s="267"/>
      <c r="G18" s="268"/>
      <c r="H18" s="268"/>
      <c r="I18" s="268"/>
      <c r="J18" s="328"/>
      <c r="K18" s="329"/>
      <c r="L18" s="330"/>
      <c r="M18" s="324"/>
    </row>
    <row r="19" spans="2:14" ht="28.5" customHeight="1">
      <c r="B19" s="269"/>
      <c r="C19" s="270"/>
      <c r="D19" s="271" t="s">
        <v>1687</v>
      </c>
      <c r="E19" s="272">
        <v>2006</v>
      </c>
      <c r="F19" s="273">
        <v>4000000000</v>
      </c>
      <c r="G19" s="274">
        <v>-400520178.80000001</v>
      </c>
      <c r="H19" s="274">
        <v>0</v>
      </c>
      <c r="I19" s="274">
        <f>SUM(G19:H19)</f>
        <v>-400520178.80000001</v>
      </c>
      <c r="J19" s="331">
        <f>-I19</f>
        <v>400520178.80000001</v>
      </c>
      <c r="K19" s="322">
        <f>SUM(I19+J19)</f>
        <v>0</v>
      </c>
      <c r="L19" s="323">
        <v>0.98</v>
      </c>
      <c r="M19" s="1506" t="s">
        <v>926</v>
      </c>
      <c r="N19" s="332" t="s">
        <v>1688</v>
      </c>
    </row>
    <row r="20" spans="2:14" ht="25.5" customHeight="1">
      <c r="B20" s="260">
        <v>5</v>
      </c>
      <c r="C20" s="275" t="s">
        <v>1689</v>
      </c>
      <c r="D20" s="248" t="s">
        <v>1690</v>
      </c>
      <c r="E20" s="276">
        <v>2006</v>
      </c>
      <c r="F20" s="252">
        <v>1000000000</v>
      </c>
      <c r="G20" s="253">
        <v>1000000000</v>
      </c>
      <c r="H20" s="253">
        <v>0</v>
      </c>
      <c r="I20" s="253">
        <f>SUM(G20:H20)</f>
        <v>1000000000</v>
      </c>
      <c r="J20" s="321">
        <v>0</v>
      </c>
      <c r="K20" s="322">
        <f t="shared" ref="K20:K25" si="0">SUM(I20)</f>
        <v>1000000000</v>
      </c>
      <c r="L20" s="323">
        <v>6.0000000000000001E-3</v>
      </c>
      <c r="M20" s="324">
        <v>1000</v>
      </c>
    </row>
    <row r="21" spans="2:14" ht="34.5" customHeight="1">
      <c r="B21" s="246">
        <v>6</v>
      </c>
      <c r="C21" s="275" t="s">
        <v>1691</v>
      </c>
      <c r="D21" s="248" t="s">
        <v>1692</v>
      </c>
      <c r="E21" s="264"/>
      <c r="F21" s="265"/>
      <c r="G21" s="253"/>
      <c r="H21" s="253"/>
      <c r="I21" s="253"/>
      <c r="J21" s="321"/>
      <c r="K21" s="322"/>
      <c r="L21" s="323"/>
      <c r="M21" s="324"/>
    </row>
    <row r="22" spans="2:14" ht="34.5" customHeight="1">
      <c r="B22" s="246"/>
      <c r="C22" s="275"/>
      <c r="D22" s="248" t="s">
        <v>1693</v>
      </c>
      <c r="E22" s="264"/>
      <c r="F22" s="265"/>
      <c r="G22" s="253"/>
      <c r="H22" s="253"/>
      <c r="I22" s="253"/>
      <c r="J22" s="321"/>
      <c r="K22" s="322"/>
      <c r="L22" s="323"/>
      <c r="M22" s="324"/>
    </row>
    <row r="23" spans="2:14" ht="34.5" customHeight="1">
      <c r="B23" s="246"/>
      <c r="C23" s="275"/>
      <c r="D23" s="248" t="s">
        <v>1694</v>
      </c>
      <c r="E23" s="249">
        <v>2006</v>
      </c>
      <c r="F23" s="252">
        <v>600000000</v>
      </c>
      <c r="G23" s="253">
        <v>3600000000</v>
      </c>
      <c r="H23" s="253">
        <v>0</v>
      </c>
      <c r="I23" s="253">
        <f>SUM(G23:H23)</f>
        <v>3600000000</v>
      </c>
      <c r="J23" s="321"/>
      <c r="K23" s="322">
        <f t="shared" si="0"/>
        <v>3600000000</v>
      </c>
      <c r="L23" s="323">
        <v>7.5999999999999998E-2</v>
      </c>
      <c r="M23" s="333">
        <v>359999</v>
      </c>
    </row>
    <row r="24" spans="2:14" ht="33.75" customHeight="1">
      <c r="B24" s="246">
        <v>7</v>
      </c>
      <c r="C24" s="275" t="s">
        <v>1695</v>
      </c>
      <c r="D24" s="248" t="s">
        <v>1696</v>
      </c>
      <c r="E24" s="249">
        <v>2007</v>
      </c>
      <c r="F24" s="252">
        <v>8216750000</v>
      </c>
      <c r="G24" s="253">
        <v>8216750000</v>
      </c>
      <c r="H24" s="253">
        <v>0</v>
      </c>
      <c r="I24" s="253">
        <f>SUM(G24:H24)</f>
        <v>8216750000</v>
      </c>
      <c r="J24" s="321">
        <v>0</v>
      </c>
      <c r="K24" s="322">
        <f t="shared" si="0"/>
        <v>8216750000</v>
      </c>
      <c r="L24" s="323">
        <v>0.10100000000000001</v>
      </c>
      <c r="M24" s="333" t="s">
        <v>926</v>
      </c>
    </row>
    <row r="25" spans="2:14" ht="34.5" customHeight="1">
      <c r="B25" s="277">
        <v>8</v>
      </c>
      <c r="C25" s="278" t="s">
        <v>1697</v>
      </c>
      <c r="D25" s="279" t="s">
        <v>1698</v>
      </c>
      <c r="E25" s="280">
        <v>2007</v>
      </c>
      <c r="F25" s="281">
        <v>731250000</v>
      </c>
      <c r="G25" s="282">
        <v>731250000</v>
      </c>
      <c r="H25" s="282">
        <v>0</v>
      </c>
      <c r="I25" s="282">
        <f>SUM(G25:H25)</f>
        <v>731250000</v>
      </c>
      <c r="J25" s="334">
        <v>0</v>
      </c>
      <c r="K25" s="322">
        <f t="shared" si="0"/>
        <v>731250000</v>
      </c>
      <c r="L25" s="323">
        <v>1.7899999999999999E-2</v>
      </c>
      <c r="M25" s="1505" t="s">
        <v>926</v>
      </c>
    </row>
    <row r="26" spans="2:14" ht="23.25" customHeight="1">
      <c r="B26" s="283">
        <v>9</v>
      </c>
      <c r="C26" s="284" t="s">
        <v>1699</v>
      </c>
      <c r="D26" s="285" t="s">
        <v>1700</v>
      </c>
      <c r="E26" s="286">
        <v>2011</v>
      </c>
      <c r="F26" s="273">
        <v>20000000000</v>
      </c>
      <c r="G26" s="274">
        <v>23500597367.75</v>
      </c>
      <c r="H26" s="287">
        <v>0</v>
      </c>
      <c r="I26" s="274">
        <f>SUM(G26:H26)</f>
        <v>23500597367.75</v>
      </c>
      <c r="J26" s="335">
        <v>174744142.31</v>
      </c>
      <c r="K26" s="329">
        <f>SUM(I26:J26)</f>
        <v>23675341510.060001</v>
      </c>
      <c r="L26" s="323">
        <v>0.64290000000000003</v>
      </c>
      <c r="M26" s="324">
        <v>22500</v>
      </c>
      <c r="N26" s="332" t="s">
        <v>1688</v>
      </c>
    </row>
    <row r="27" spans="2:14">
      <c r="B27" s="288"/>
      <c r="C27" s="289"/>
      <c r="D27" s="290"/>
      <c r="E27" s="291"/>
      <c r="F27" s="292"/>
      <c r="G27" s="293"/>
      <c r="H27" s="293"/>
      <c r="I27" s="293"/>
      <c r="J27" s="292"/>
      <c r="K27" s="293"/>
      <c r="L27" s="336"/>
      <c r="M27" s="337"/>
    </row>
    <row r="28" spans="2:14">
      <c r="B28" s="294"/>
      <c r="C28" s="295"/>
      <c r="D28" s="296"/>
      <c r="E28" s="297"/>
      <c r="F28" s="298"/>
      <c r="G28" s="298">
        <f>SUM(G14:G27)</f>
        <v>77225077188.949997</v>
      </c>
      <c r="H28" s="298">
        <f>SUM(H14:H27)</f>
        <v>0</v>
      </c>
      <c r="I28" s="298">
        <f>SUM(I14:I27)</f>
        <v>77225077188.949997</v>
      </c>
      <c r="J28" s="338">
        <f>SUM(J14:J27)</f>
        <v>575264321.11000001</v>
      </c>
      <c r="K28" s="298">
        <f>SUM(K14:K27)</f>
        <v>77800341510.059998</v>
      </c>
      <c r="L28" s="339"/>
      <c r="M28" s="340"/>
    </row>
    <row r="30" spans="2:14" s="56" customFormat="1" ht="11.25">
      <c r="B30" s="2099" t="s">
        <v>1701</v>
      </c>
      <c r="C30" s="2099"/>
      <c r="D30" s="2099"/>
      <c r="E30" s="2099"/>
      <c r="F30" s="2099"/>
      <c r="G30" s="2099"/>
      <c r="K30" s="79"/>
      <c r="L30" s="79"/>
      <c r="M30" s="79"/>
      <c r="N30" s="79"/>
    </row>
    <row r="31" spans="2:14" s="56" customFormat="1" ht="11.25">
      <c r="B31" s="299"/>
      <c r="C31" s="299"/>
      <c r="D31" s="299"/>
      <c r="E31" s="299"/>
      <c r="F31" s="299"/>
      <c r="G31" s="299"/>
      <c r="H31" s="300"/>
      <c r="I31" s="300"/>
      <c r="J31" s="300"/>
      <c r="K31" s="300"/>
      <c r="L31" s="341"/>
      <c r="M31" s="341"/>
      <c r="N31" s="79"/>
    </row>
    <row r="32" spans="2:14" s="236" customFormat="1" ht="45">
      <c r="B32" s="301" t="s">
        <v>4</v>
      </c>
      <c r="C32" s="301" t="s">
        <v>1702</v>
      </c>
      <c r="D32" s="301" t="s">
        <v>1703</v>
      </c>
      <c r="E32" s="301" t="s">
        <v>1704</v>
      </c>
      <c r="F32" s="301" t="s">
        <v>1705</v>
      </c>
      <c r="G32" s="301" t="s">
        <v>1706</v>
      </c>
      <c r="H32" s="302"/>
      <c r="I32" s="302"/>
      <c r="J32" s="302"/>
      <c r="K32" s="302"/>
      <c r="L32" s="342"/>
      <c r="M32" s="342"/>
      <c r="N32" s="343"/>
    </row>
    <row r="33" spans="2:14" s="56" customFormat="1" ht="12.75" customHeight="1">
      <c r="B33" s="303">
        <v>1</v>
      </c>
      <c r="C33" s="304" t="s">
        <v>1707</v>
      </c>
      <c r="D33" s="305">
        <v>22500000000</v>
      </c>
      <c r="E33" s="306">
        <f>D33/D37*100</f>
        <v>64.285714285714306</v>
      </c>
      <c r="F33" s="2113">
        <v>37773800814</v>
      </c>
      <c r="G33" s="305">
        <f>64.3%*F33</f>
        <v>24288553923.402</v>
      </c>
      <c r="H33" s="300"/>
      <c r="I33" s="300"/>
      <c r="J33" s="300"/>
      <c r="K33" s="300"/>
      <c r="L33" s="341"/>
      <c r="M33" s="341"/>
      <c r="N33" s="79"/>
    </row>
    <row r="34" spans="2:14" s="56" customFormat="1" ht="11.25">
      <c r="B34" s="303">
        <v>2</v>
      </c>
      <c r="C34" s="304" t="s">
        <v>1708</v>
      </c>
      <c r="D34" s="305">
        <v>5000000000</v>
      </c>
      <c r="E34" s="306">
        <f>D34/D37*100</f>
        <v>14.285714285714301</v>
      </c>
      <c r="F34" s="2113"/>
      <c r="G34" s="305">
        <f>14.3%*F33</f>
        <v>5401653516.4020004</v>
      </c>
      <c r="H34" s="300"/>
      <c r="I34" s="300"/>
      <c r="J34" s="300"/>
      <c r="K34" s="300"/>
      <c r="L34" s="341"/>
      <c r="M34" s="341"/>
      <c r="N34" s="79"/>
    </row>
    <row r="35" spans="2:14" s="56" customFormat="1" ht="11.25">
      <c r="B35" s="303">
        <v>3</v>
      </c>
      <c r="C35" s="307" t="s">
        <v>1709</v>
      </c>
      <c r="D35" s="305">
        <v>5000000000</v>
      </c>
      <c r="E35" s="306">
        <f>D35/D37*100</f>
        <v>14.285714285714301</v>
      </c>
      <c r="F35" s="2113"/>
      <c r="G35" s="305">
        <f>14.3%*F33</f>
        <v>5401653516.4020004</v>
      </c>
      <c r="H35" s="300"/>
      <c r="I35" s="300"/>
      <c r="J35" s="300"/>
      <c r="K35" s="300"/>
      <c r="L35" s="341"/>
      <c r="M35" s="341"/>
      <c r="N35" s="79"/>
    </row>
    <row r="36" spans="2:14" s="56" customFormat="1" ht="11.25">
      <c r="B36" s="303">
        <v>4</v>
      </c>
      <c r="C36" s="307" t="s">
        <v>1710</v>
      </c>
      <c r="D36" s="305">
        <v>2500000000</v>
      </c>
      <c r="E36" s="306">
        <f>D36/D37*100</f>
        <v>7.1428571428571397</v>
      </c>
      <c r="F36" s="2113"/>
      <c r="G36" s="305">
        <f>7.1%*F33</f>
        <v>2681939857.7940001</v>
      </c>
      <c r="H36" s="300"/>
      <c r="I36" s="300"/>
      <c r="J36" s="300"/>
      <c r="K36" s="300"/>
      <c r="L36" s="341"/>
      <c r="M36" s="341"/>
      <c r="N36" s="79"/>
    </row>
    <row r="37" spans="2:14" s="237" customFormat="1" ht="11.25">
      <c r="B37" s="2100" t="s">
        <v>9</v>
      </c>
      <c r="C37" s="2100"/>
      <c r="D37" s="308">
        <f>SUM(D33:D36)</f>
        <v>35000000000</v>
      </c>
      <c r="E37" s="309">
        <f>SUM(E33:E36)</f>
        <v>100</v>
      </c>
      <c r="F37" s="310">
        <f>F33</f>
        <v>37773800814</v>
      </c>
      <c r="G37" s="310">
        <f>SUM(G33:G36)</f>
        <v>37773800814</v>
      </c>
      <c r="H37" s="311"/>
      <c r="I37" s="311"/>
      <c r="J37" s="311"/>
      <c r="K37" s="311"/>
      <c r="L37" s="344"/>
      <c r="M37" s="344"/>
      <c r="N37" s="345"/>
    </row>
    <row r="38" spans="2:14" s="56" customFormat="1" ht="11.25">
      <c r="B38" s="312"/>
      <c r="C38" s="312"/>
      <c r="D38" s="312"/>
      <c r="E38" s="312"/>
      <c r="F38" s="312"/>
      <c r="G38" s="312"/>
      <c r="H38" s="300"/>
      <c r="I38" s="300"/>
      <c r="J38" s="300"/>
      <c r="K38" s="300"/>
      <c r="L38" s="341"/>
      <c r="M38" s="341"/>
      <c r="N38" s="79"/>
    </row>
    <row r="39" spans="2:14" s="56" customFormat="1" ht="11.25">
      <c r="B39" s="312"/>
      <c r="C39" s="312"/>
      <c r="D39" s="312"/>
      <c r="E39" s="312"/>
      <c r="F39" s="312"/>
      <c r="G39" s="312"/>
      <c r="H39" s="300"/>
      <c r="I39" s="300"/>
      <c r="J39" s="300"/>
      <c r="K39" s="300"/>
      <c r="L39" s="341"/>
      <c r="M39" s="341"/>
      <c r="N39" s="79"/>
    </row>
    <row r="40" spans="2:14" s="56" customFormat="1" ht="11.25">
      <c r="B40" s="2099" t="s">
        <v>1711</v>
      </c>
      <c r="C40" s="2099"/>
      <c r="D40" s="2099"/>
      <c r="E40" s="2099"/>
      <c r="F40" s="2099"/>
      <c r="G40" s="2099"/>
      <c r="H40" s="300"/>
      <c r="I40" s="300"/>
      <c r="J40" s="300"/>
      <c r="K40" s="300"/>
      <c r="L40" s="341"/>
      <c r="M40" s="341"/>
      <c r="N40" s="79"/>
    </row>
    <row r="41" spans="2:14" s="56" customFormat="1" ht="11.25">
      <c r="B41" s="299"/>
      <c r="C41" s="299"/>
      <c r="D41" s="299"/>
      <c r="E41" s="299"/>
      <c r="F41" s="299"/>
      <c r="G41" s="299"/>
      <c r="H41" s="300"/>
      <c r="I41" s="300"/>
      <c r="J41" s="300"/>
      <c r="K41" s="300"/>
      <c r="L41" s="341"/>
      <c r="M41" s="341"/>
      <c r="N41" s="79"/>
    </row>
    <row r="42" spans="2:14" s="56" customFormat="1" ht="45">
      <c r="B42" s="301" t="s">
        <v>4</v>
      </c>
      <c r="C42" s="301" t="s">
        <v>1702</v>
      </c>
      <c r="D42" s="301" t="s">
        <v>1703</v>
      </c>
      <c r="E42" s="301" t="s">
        <v>1704</v>
      </c>
      <c r="F42" s="301" t="s">
        <v>1705</v>
      </c>
      <c r="G42" s="301" t="s">
        <v>1706</v>
      </c>
      <c r="H42" s="300"/>
      <c r="I42" s="300"/>
      <c r="J42" s="300"/>
      <c r="K42" s="300"/>
      <c r="L42" s="341"/>
      <c r="M42" s="341"/>
      <c r="N42" s="79"/>
    </row>
    <row r="43" spans="2:14" s="56" customFormat="1" ht="11.25">
      <c r="B43" s="303">
        <v>1</v>
      </c>
      <c r="C43" s="304" t="s">
        <v>1707</v>
      </c>
      <c r="D43" s="305">
        <v>3920000000</v>
      </c>
      <c r="E43" s="313">
        <f>D43/D46*100</f>
        <v>98</v>
      </c>
      <c r="F43" s="2113">
        <v>-840985009</v>
      </c>
      <c r="G43" s="314">
        <f>98%*F43</f>
        <v>-824165308.82000005</v>
      </c>
      <c r="H43" s="300"/>
      <c r="I43" s="300"/>
      <c r="J43" s="300"/>
      <c r="K43" s="300"/>
      <c r="L43" s="341"/>
      <c r="M43" s="341"/>
      <c r="N43" s="79"/>
    </row>
    <row r="44" spans="2:14" s="56" customFormat="1" ht="11.25">
      <c r="B44" s="303">
        <v>2</v>
      </c>
      <c r="C44" s="304" t="s">
        <v>1712</v>
      </c>
      <c r="D44" s="305">
        <v>40000000</v>
      </c>
      <c r="E44" s="313">
        <f>D44/D46*100</f>
        <v>1</v>
      </c>
      <c r="F44" s="2113"/>
      <c r="G44" s="305">
        <f>1%*F43</f>
        <v>-8409850.0899999999</v>
      </c>
      <c r="L44" s="79"/>
      <c r="M44" s="79"/>
      <c r="N44" s="79"/>
    </row>
    <row r="45" spans="2:14" s="56" customFormat="1" ht="11.25">
      <c r="B45" s="303">
        <v>3</v>
      </c>
      <c r="C45" s="307" t="s">
        <v>1713</v>
      </c>
      <c r="D45" s="305">
        <v>40000000</v>
      </c>
      <c r="E45" s="313">
        <f>D45/D46*100</f>
        <v>1</v>
      </c>
      <c r="F45" s="2113"/>
      <c r="G45" s="305">
        <f>1%*F43</f>
        <v>-8409850.0899999999</v>
      </c>
      <c r="L45" s="79"/>
      <c r="M45" s="79"/>
      <c r="N45" s="79"/>
    </row>
    <row r="46" spans="2:14" s="56" customFormat="1" ht="11.25">
      <c r="B46" s="2100" t="s">
        <v>9</v>
      </c>
      <c r="C46" s="2100"/>
      <c r="D46" s="308">
        <f>SUM(D43:D45)</f>
        <v>4000000000</v>
      </c>
      <c r="E46" s="309">
        <f>SUM(E43:E45)</f>
        <v>100</v>
      </c>
      <c r="F46" s="310">
        <f>F43</f>
        <v>-840985009</v>
      </c>
      <c r="G46" s="310">
        <f>SUM(G43:G45)</f>
        <v>-840985009</v>
      </c>
    </row>
    <row r="47" spans="2:14" s="56" customFormat="1" ht="11.25">
      <c r="D47" s="300"/>
      <c r="E47" s="315"/>
    </row>
    <row r="48" spans="2:14" s="56" customFormat="1" ht="11.25">
      <c r="D48" s="300"/>
    </row>
    <row r="49" s="56" customFormat="1" ht="11.25"/>
    <row r="50" s="56" customFormat="1" ht="11.25"/>
    <row r="51" s="56" customFormat="1" ht="11.25"/>
    <row r="52" s="56" customFormat="1" ht="11.25"/>
    <row r="53" s="56" customFormat="1" ht="11.25"/>
    <row r="54" s="56" customFormat="1" ht="11.25"/>
    <row r="55" s="56" customFormat="1" ht="11.25"/>
    <row r="56" s="56" customFormat="1" ht="11.25"/>
    <row r="57" s="56" customFormat="1" ht="11.25"/>
    <row r="58" s="56" customFormat="1" ht="11.25"/>
    <row r="59" s="56" customFormat="1" ht="11.25"/>
    <row r="60" s="56" customFormat="1" ht="11.25"/>
    <row r="61" s="56" customFormat="1" ht="11.25"/>
    <row r="62" s="56" customFormat="1" ht="11.25"/>
    <row r="63" s="56" customFormat="1" ht="11.25"/>
    <row r="64" s="56" customFormat="1" ht="11.25"/>
    <row r="65" s="56" customFormat="1" ht="11.25"/>
    <row r="66" s="56" customFormat="1" ht="11.25"/>
    <row r="67" s="56" customFormat="1" ht="11.25"/>
    <row r="68" s="56" customFormat="1" ht="11.25"/>
    <row r="69" s="56" customFormat="1" ht="11.25"/>
    <row r="70" s="56" customFormat="1" ht="11.25"/>
    <row r="71" s="56" customFormat="1" ht="11.25"/>
  </sheetData>
  <mergeCells count="21">
    <mergeCell ref="B40:G40"/>
    <mergeCell ref="B46:C46"/>
    <mergeCell ref="B6:B10"/>
    <mergeCell ref="C6:C10"/>
    <mergeCell ref="D6:D10"/>
    <mergeCell ref="E6:E10"/>
    <mergeCell ref="F6:F10"/>
    <mergeCell ref="F33:F36"/>
    <mergeCell ref="F43:F45"/>
    <mergeCell ref="G6:G10"/>
    <mergeCell ref="B2:M2"/>
    <mergeCell ref="B3:M3"/>
    <mergeCell ref="B4:M4"/>
    <mergeCell ref="B30:G30"/>
    <mergeCell ref="B37:C37"/>
    <mergeCell ref="H6:H10"/>
    <mergeCell ref="I6:I10"/>
    <mergeCell ref="J6:J10"/>
    <mergeCell ref="K6:K10"/>
    <mergeCell ref="L6:L10"/>
    <mergeCell ref="M6:M10"/>
  </mergeCells>
  <pageMargins left="0.62" right="0.15972222222222199" top="0.15972222222222199" bottom="0.34930555555555598" header="0.11944444444444401" footer="0.30972222222222201"/>
  <pageSetup scale="65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rgb="FF00B0F0"/>
  </sheetPr>
  <dimension ref="B2:P50"/>
  <sheetViews>
    <sheetView topLeftCell="G1" zoomScale="86" zoomScaleNormal="86" workbookViewId="0">
      <selection activeCell="B3" sqref="B3:I3"/>
    </sheetView>
  </sheetViews>
  <sheetFormatPr defaultColWidth="9.140625" defaultRowHeight="12.75"/>
  <cols>
    <col min="1" max="1" width="1.85546875" style="1654" customWidth="1"/>
    <col min="2" max="2" width="3.28515625" style="1654" customWidth="1"/>
    <col min="3" max="3" width="38.5703125" style="1654" customWidth="1"/>
    <col min="4" max="4" width="25.5703125" style="1654" customWidth="1"/>
    <col min="5" max="5" width="22.7109375" style="1654" bestFit="1" customWidth="1"/>
    <col min="6" max="6" width="24.7109375" style="1654" bestFit="1" customWidth="1"/>
    <col min="7" max="7" width="23.42578125" style="1654" bestFit="1" customWidth="1"/>
    <col min="8" max="8" width="21.42578125" style="1654" customWidth="1"/>
    <col min="9" max="10" width="24.7109375" style="1654" bestFit="1" customWidth="1"/>
    <col min="11" max="12" width="23.42578125" style="1654" bestFit="1" customWidth="1"/>
    <col min="13" max="13" width="21.42578125" style="1654" customWidth="1"/>
    <col min="14" max="14" width="23.42578125" style="1654" bestFit="1" customWidth="1"/>
    <col min="15" max="15" width="24.7109375" style="1654" bestFit="1" customWidth="1"/>
    <col min="16" max="16" width="26.5703125" style="1654" bestFit="1" customWidth="1"/>
    <col min="17" max="16384" width="9.140625" style="1654"/>
  </cols>
  <sheetData>
    <row r="2" spans="2:16" ht="12.75" customHeight="1">
      <c r="B2" s="2116" t="s">
        <v>0</v>
      </c>
      <c r="C2" s="2116"/>
      <c r="D2" s="2116"/>
      <c r="E2" s="2116"/>
      <c r="F2" s="2116"/>
      <c r="G2" s="2116"/>
      <c r="H2" s="2116"/>
      <c r="I2" s="2116"/>
      <c r="J2" s="1653"/>
      <c r="K2" s="1653"/>
      <c r="L2" s="1653"/>
      <c r="M2" s="1653"/>
      <c r="N2" s="1653"/>
      <c r="O2" s="1653"/>
      <c r="P2" s="1653"/>
    </row>
    <row r="3" spans="2:16" ht="12.75" customHeight="1">
      <c r="B3" s="2116" t="s">
        <v>1714</v>
      </c>
      <c r="C3" s="2116"/>
      <c r="D3" s="2116"/>
      <c r="E3" s="2116"/>
      <c r="F3" s="2116"/>
      <c r="G3" s="2116"/>
      <c r="H3" s="2116"/>
      <c r="I3" s="2116"/>
      <c r="J3" s="1653"/>
      <c r="K3" s="1653"/>
      <c r="L3" s="1653"/>
      <c r="M3" s="1653"/>
      <c r="N3" s="1653"/>
      <c r="O3" s="1653"/>
      <c r="P3" s="1653"/>
    </row>
    <row r="4" spans="2:16" ht="12.75" customHeight="1">
      <c r="B4" s="1653"/>
      <c r="C4" s="1653"/>
      <c r="D4" s="1653"/>
      <c r="E4" s="1653"/>
      <c r="F4" s="1653"/>
      <c r="G4" s="1653"/>
      <c r="H4" s="1653"/>
      <c r="I4" s="1653"/>
      <c r="J4" s="1653"/>
      <c r="K4" s="1653"/>
      <c r="L4" s="1653"/>
      <c r="M4" s="1653"/>
      <c r="N4" s="1653"/>
      <c r="O4" s="1653"/>
      <c r="P4" s="1653"/>
    </row>
    <row r="5" spans="2:16" ht="12.75" customHeight="1">
      <c r="B5" s="1653"/>
      <c r="C5" s="1653"/>
      <c r="D5" s="1653"/>
      <c r="E5" s="1653"/>
      <c r="F5" s="1653"/>
      <c r="G5" s="1653"/>
      <c r="H5" s="234" t="s">
        <v>3</v>
      </c>
      <c r="I5" s="1653"/>
      <c r="J5" s="1653"/>
      <c r="K5" s="1653"/>
      <c r="L5" s="1653"/>
      <c r="M5" s="1653"/>
      <c r="N5" s="1653"/>
      <c r="O5" s="1653"/>
      <c r="P5" s="1653"/>
    </row>
    <row r="6" spans="2:16" ht="15.75">
      <c r="B6" s="2117" t="s">
        <v>114</v>
      </c>
      <c r="C6" s="2118"/>
      <c r="D6" s="2123" t="s">
        <v>1715</v>
      </c>
      <c r="E6" s="2126" t="s">
        <v>1716</v>
      </c>
      <c r="F6" s="2127"/>
      <c r="G6" s="2127"/>
      <c r="H6" s="2127"/>
      <c r="I6" s="2127"/>
      <c r="J6" s="2127"/>
      <c r="K6" s="2127"/>
      <c r="L6" s="2127"/>
      <c r="M6" s="2127"/>
      <c r="N6" s="2127"/>
      <c r="O6" s="2127"/>
      <c r="P6" s="2128"/>
    </row>
    <row r="7" spans="2:16" ht="15.75">
      <c r="B7" s="2119"/>
      <c r="C7" s="2120"/>
      <c r="D7" s="2124"/>
      <c r="E7" s="2126" t="s">
        <v>1717</v>
      </c>
      <c r="F7" s="2127"/>
      <c r="G7" s="2127"/>
      <c r="H7" s="2128"/>
      <c r="I7" s="2126" t="s">
        <v>1718</v>
      </c>
      <c r="J7" s="2127"/>
      <c r="K7" s="2127"/>
      <c r="L7" s="2127"/>
      <c r="M7" s="2127"/>
      <c r="N7" s="2127"/>
      <c r="O7" s="2128"/>
      <c r="P7" s="2123" t="s">
        <v>1719</v>
      </c>
    </row>
    <row r="8" spans="2:16" ht="31.5">
      <c r="B8" s="2121"/>
      <c r="C8" s="2122"/>
      <c r="D8" s="2125"/>
      <c r="E8" s="1655" t="s">
        <v>1720</v>
      </c>
      <c r="F8" s="1655" t="s">
        <v>1721</v>
      </c>
      <c r="G8" s="1656" t="s">
        <v>1722</v>
      </c>
      <c r="H8" s="1656" t="s">
        <v>1723</v>
      </c>
      <c r="I8" s="1656" t="s">
        <v>1724</v>
      </c>
      <c r="J8" s="1655" t="s">
        <v>1721</v>
      </c>
      <c r="K8" s="1656" t="s">
        <v>1722</v>
      </c>
      <c r="L8" s="1655" t="s">
        <v>1725</v>
      </c>
      <c r="M8" s="1655" t="s">
        <v>1726</v>
      </c>
      <c r="N8" s="1655" t="s">
        <v>1727</v>
      </c>
      <c r="O8" s="1655" t="s">
        <v>1728</v>
      </c>
      <c r="P8" s="2125"/>
    </row>
    <row r="9" spans="2:16" ht="15">
      <c r="B9" s="2114">
        <v>2</v>
      </c>
      <c r="C9" s="2115"/>
      <c r="D9" s="1657">
        <v>3</v>
      </c>
      <c r="E9" s="1657">
        <v>4</v>
      </c>
      <c r="F9" s="1657">
        <v>5</v>
      </c>
      <c r="G9" s="1657">
        <v>6</v>
      </c>
      <c r="H9" s="1657">
        <v>7</v>
      </c>
      <c r="I9" s="1657">
        <v>8</v>
      </c>
      <c r="J9" s="1657">
        <v>9</v>
      </c>
      <c r="K9" s="1657">
        <v>10</v>
      </c>
      <c r="L9" s="1657">
        <v>11</v>
      </c>
      <c r="M9" s="1657">
        <v>12</v>
      </c>
      <c r="N9" s="1657">
        <v>13</v>
      </c>
      <c r="O9" s="1657">
        <v>14</v>
      </c>
      <c r="P9" s="1658">
        <v>15</v>
      </c>
    </row>
    <row r="10" spans="2:16" ht="15">
      <c r="B10" s="1659" t="s">
        <v>1729</v>
      </c>
      <c r="C10" s="1659"/>
      <c r="D10" s="1660">
        <f>SUM(D11)</f>
        <v>651804492713</v>
      </c>
      <c r="E10" s="1660">
        <f t="shared" ref="E10:P10" si="0">SUM(E11)</f>
        <v>0</v>
      </c>
      <c r="F10" s="1660">
        <f t="shared" si="0"/>
        <v>2935927000</v>
      </c>
      <c r="G10" s="1660">
        <f t="shared" si="0"/>
        <v>500000000</v>
      </c>
      <c r="H10" s="1660">
        <f t="shared" si="0"/>
        <v>0</v>
      </c>
      <c r="I10" s="1660">
        <f t="shared" si="0"/>
        <v>3221639850</v>
      </c>
      <c r="J10" s="1660">
        <f t="shared" si="0"/>
        <v>2935927000</v>
      </c>
      <c r="K10" s="1660">
        <f t="shared" si="0"/>
        <v>0</v>
      </c>
      <c r="L10" s="1660">
        <f t="shared" si="0"/>
        <v>137245000</v>
      </c>
      <c r="M10" s="1660">
        <f t="shared" si="0"/>
        <v>0</v>
      </c>
      <c r="N10" s="1660">
        <f t="shared" si="0"/>
        <v>0</v>
      </c>
      <c r="O10" s="1660">
        <f t="shared" si="0"/>
        <v>96000000</v>
      </c>
      <c r="P10" s="1661">
        <f t="shared" si="0"/>
        <v>654759377563</v>
      </c>
    </row>
    <row r="11" spans="2:16" s="1664" customFormat="1" ht="15">
      <c r="B11" s="1662"/>
      <c r="C11" s="1662" t="s">
        <v>1729</v>
      </c>
      <c r="D11" s="1663">
        <v>651804492713</v>
      </c>
      <c r="E11" s="1663">
        <v>0</v>
      </c>
      <c r="F11" s="1663">
        <v>2935927000</v>
      </c>
      <c r="G11" s="1663">
        <v>500000000</v>
      </c>
      <c r="H11" s="1663">
        <v>0</v>
      </c>
      <c r="I11" s="1663">
        <v>3221639850</v>
      </c>
      <c r="J11" s="1663">
        <v>2935927000</v>
      </c>
      <c r="K11" s="1663">
        <v>0</v>
      </c>
      <c r="L11" s="1663">
        <v>137245000</v>
      </c>
      <c r="M11" s="1663">
        <v>0</v>
      </c>
      <c r="N11" s="1663">
        <v>0</v>
      </c>
      <c r="O11" s="1663">
        <v>96000000</v>
      </c>
      <c r="P11" s="1663">
        <f>SUM(D11-E11-F11-G11-H11+I11+J11+K11+L11+M11+N11+O11)</f>
        <v>654759377563</v>
      </c>
    </row>
    <row r="12" spans="2:16" ht="15">
      <c r="B12" s="1665" t="s">
        <v>1730</v>
      </c>
      <c r="C12" s="1665"/>
      <c r="D12" s="1660">
        <f>SUM(D13:D21)</f>
        <v>747579419837.29224</v>
      </c>
      <c r="E12" s="1660">
        <f t="shared" ref="E12:P12" si="1">SUM(E13:E21)</f>
        <v>0</v>
      </c>
      <c r="F12" s="1660">
        <f t="shared" si="1"/>
        <v>17860384870</v>
      </c>
      <c r="G12" s="1660">
        <f t="shared" si="1"/>
        <v>17710304975</v>
      </c>
      <c r="H12" s="1660">
        <f t="shared" si="1"/>
        <v>1736571000</v>
      </c>
      <c r="I12" s="1660">
        <f t="shared" si="1"/>
        <v>0</v>
      </c>
      <c r="J12" s="1660">
        <f t="shared" si="1"/>
        <v>18354384870</v>
      </c>
      <c r="K12" s="1660">
        <f t="shared" si="1"/>
        <v>135293000</v>
      </c>
      <c r="L12" s="1660">
        <f t="shared" si="1"/>
        <v>12248207732</v>
      </c>
      <c r="M12" s="1660">
        <f t="shared" si="1"/>
        <v>796655698</v>
      </c>
      <c r="N12" s="1660">
        <f t="shared" si="1"/>
        <v>8137886719</v>
      </c>
      <c r="O12" s="1660">
        <f t="shared" si="1"/>
        <v>72153854491.220001</v>
      </c>
      <c r="P12" s="1661">
        <f t="shared" si="1"/>
        <v>822098441502.51221</v>
      </c>
    </row>
    <row r="13" spans="2:16" ht="15">
      <c r="B13" s="1666"/>
      <c r="C13" s="1666" t="s">
        <v>1731</v>
      </c>
      <c r="D13" s="1663">
        <v>18263373853.66</v>
      </c>
      <c r="E13" s="1663">
        <v>0</v>
      </c>
      <c r="F13" s="1663">
        <v>0</v>
      </c>
      <c r="G13" s="1663">
        <v>5695000</v>
      </c>
      <c r="H13" s="1663">
        <v>0</v>
      </c>
      <c r="I13" s="1663">
        <v>0</v>
      </c>
      <c r="J13" s="1663">
        <v>0</v>
      </c>
      <c r="K13" s="1663">
        <v>0</v>
      </c>
      <c r="L13" s="1663">
        <v>1090585250</v>
      </c>
      <c r="M13" s="1663">
        <v>0</v>
      </c>
      <c r="N13" s="1663">
        <v>0</v>
      </c>
      <c r="O13" s="1663">
        <v>12075000</v>
      </c>
      <c r="P13" s="1663">
        <f>SUM(D13-E13-F13-G13-H13+I13+J13+K13+L13+M13+N13+O13)</f>
        <v>19360339103.66</v>
      </c>
    </row>
    <row r="14" spans="2:16" ht="15">
      <c r="B14" s="1666"/>
      <c r="C14" s="1666" t="s">
        <v>1732</v>
      </c>
      <c r="D14" s="1663">
        <v>141037975282.41</v>
      </c>
      <c r="E14" s="1663">
        <v>0</v>
      </c>
      <c r="F14" s="1663">
        <v>17796676870</v>
      </c>
      <c r="G14" s="1663">
        <v>12520902170</v>
      </c>
      <c r="H14" s="1663">
        <v>1736571000</v>
      </c>
      <c r="I14" s="1663">
        <v>0</v>
      </c>
      <c r="J14" s="1663">
        <v>18290676870</v>
      </c>
      <c r="K14" s="1663">
        <v>0</v>
      </c>
      <c r="L14" s="1663">
        <v>4729649778</v>
      </c>
      <c r="M14" s="1663">
        <v>2775500</v>
      </c>
      <c r="N14" s="1663">
        <v>2854000</v>
      </c>
      <c r="O14" s="1663">
        <v>3377737213</v>
      </c>
      <c r="P14" s="1663">
        <f t="shared" ref="P14:P21" si="2">SUM(D14-E14-F14-G14-H14+I14+J14+K14+L14+M14+N14+O14)</f>
        <v>135387518603.41</v>
      </c>
    </row>
    <row r="15" spans="2:16" ht="15">
      <c r="B15" s="1666"/>
      <c r="C15" s="1666" t="s">
        <v>1733</v>
      </c>
      <c r="D15" s="1663">
        <v>25135235994.93</v>
      </c>
      <c r="E15" s="1663">
        <v>0</v>
      </c>
      <c r="F15" s="1663">
        <v>0</v>
      </c>
      <c r="G15" s="1663">
        <v>34289700</v>
      </c>
      <c r="H15" s="1663">
        <v>0</v>
      </c>
      <c r="I15" s="1663">
        <v>0</v>
      </c>
      <c r="J15" s="1663">
        <v>0</v>
      </c>
      <c r="K15" s="1663">
        <v>0</v>
      </c>
      <c r="L15" s="1663">
        <v>1227547250</v>
      </c>
      <c r="M15" s="1663">
        <v>26250000</v>
      </c>
      <c r="N15" s="1663">
        <v>418896100</v>
      </c>
      <c r="O15" s="1663">
        <v>404871100</v>
      </c>
      <c r="P15" s="1663">
        <f t="shared" si="2"/>
        <v>27178510744.93</v>
      </c>
    </row>
    <row r="16" spans="2:16" ht="15">
      <c r="B16" s="1666"/>
      <c r="C16" s="1666" t="s">
        <v>1734</v>
      </c>
      <c r="D16" s="1663">
        <v>7767865666.0299997</v>
      </c>
      <c r="E16" s="1663">
        <v>0</v>
      </c>
      <c r="F16" s="1663">
        <v>0</v>
      </c>
      <c r="G16" s="1663">
        <v>6809900</v>
      </c>
      <c r="H16" s="1663">
        <v>0</v>
      </c>
      <c r="I16" s="1663">
        <v>0</v>
      </c>
      <c r="J16" s="1663">
        <v>0</v>
      </c>
      <c r="K16" s="1663">
        <v>0</v>
      </c>
      <c r="L16" s="1663">
        <v>20704900</v>
      </c>
      <c r="M16" s="1663">
        <v>0</v>
      </c>
      <c r="N16" s="1663">
        <v>28764000</v>
      </c>
      <c r="O16" s="1663">
        <v>741808200</v>
      </c>
      <c r="P16" s="1663">
        <f t="shared" si="2"/>
        <v>8552332866.0299997</v>
      </c>
    </row>
    <row r="17" spans="2:16" ht="15">
      <c r="B17" s="1666"/>
      <c r="C17" s="1666" t="s">
        <v>1735</v>
      </c>
      <c r="D17" s="1663">
        <v>277804577517.41797</v>
      </c>
      <c r="E17" s="1663">
        <v>0</v>
      </c>
      <c r="F17" s="1663">
        <v>63708000</v>
      </c>
      <c r="G17" s="1663">
        <v>5004472370</v>
      </c>
      <c r="H17" s="1663">
        <v>0</v>
      </c>
      <c r="I17" s="1663">
        <v>0</v>
      </c>
      <c r="J17" s="1663">
        <v>63708000</v>
      </c>
      <c r="K17" s="1663">
        <v>117193000</v>
      </c>
      <c r="L17" s="1663">
        <v>4437147683</v>
      </c>
      <c r="M17" s="1663">
        <v>657766698</v>
      </c>
      <c r="N17" s="1663">
        <v>5850680791</v>
      </c>
      <c r="O17" s="1663">
        <v>18354993469</v>
      </c>
      <c r="P17" s="1663">
        <f t="shared" si="2"/>
        <v>302217886788.41797</v>
      </c>
    </row>
    <row r="18" spans="2:16" ht="15">
      <c r="B18" s="1666"/>
      <c r="C18" s="1666" t="s">
        <v>1736</v>
      </c>
      <c r="D18" s="1663">
        <v>29104579758.939999</v>
      </c>
      <c r="E18" s="1663">
        <v>0</v>
      </c>
      <c r="F18" s="1663">
        <v>0</v>
      </c>
      <c r="G18" s="1663">
        <v>17200000</v>
      </c>
      <c r="H18" s="1663">
        <v>0</v>
      </c>
      <c r="I18" s="1663">
        <v>0</v>
      </c>
      <c r="J18" s="1663">
        <v>0</v>
      </c>
      <c r="K18" s="1663">
        <v>0</v>
      </c>
      <c r="L18" s="1663">
        <v>416005991</v>
      </c>
      <c r="M18" s="1663">
        <v>65049000</v>
      </c>
      <c r="N18" s="1663">
        <v>1413806100</v>
      </c>
      <c r="O18" s="1663">
        <v>980519400</v>
      </c>
      <c r="P18" s="1663">
        <f t="shared" si="2"/>
        <v>31962760249.939999</v>
      </c>
    </row>
    <row r="19" spans="2:16" ht="15">
      <c r="B19" s="1666"/>
      <c r="C19" s="1666" t="s">
        <v>1737</v>
      </c>
      <c r="D19" s="1663">
        <v>178673128231.10001</v>
      </c>
      <c r="E19" s="1663">
        <v>0</v>
      </c>
      <c r="F19" s="1663">
        <v>0</v>
      </c>
      <c r="G19" s="1663">
        <v>30971780</v>
      </c>
      <c r="H19" s="1663">
        <v>0</v>
      </c>
      <c r="I19" s="1663">
        <v>0</v>
      </c>
      <c r="J19" s="1663">
        <v>0</v>
      </c>
      <c r="K19" s="1663">
        <v>18100000</v>
      </c>
      <c r="L19" s="1663">
        <v>0</v>
      </c>
      <c r="M19" s="1663">
        <v>2500000</v>
      </c>
      <c r="N19" s="1663">
        <v>10800000</v>
      </c>
      <c r="O19" s="1663">
        <v>40544057486.059998</v>
      </c>
      <c r="P19" s="1663">
        <f t="shared" si="2"/>
        <v>219217613937.16</v>
      </c>
    </row>
    <row r="20" spans="2:16" ht="15">
      <c r="B20" s="1666"/>
      <c r="C20" s="1666" t="s">
        <v>1738</v>
      </c>
      <c r="D20" s="1663">
        <v>66885874807.804207</v>
      </c>
      <c r="E20" s="1663">
        <v>0</v>
      </c>
      <c r="F20" s="1663">
        <v>0</v>
      </c>
      <c r="G20" s="1663">
        <v>55720055</v>
      </c>
      <c r="H20" s="1663">
        <v>0</v>
      </c>
      <c r="I20" s="1663">
        <v>0</v>
      </c>
      <c r="J20" s="1663">
        <v>0</v>
      </c>
      <c r="K20" s="1663">
        <v>0</v>
      </c>
      <c r="L20" s="1663">
        <v>326566880</v>
      </c>
      <c r="M20" s="1663">
        <v>38364500</v>
      </c>
      <c r="N20" s="1663">
        <v>331525728</v>
      </c>
      <c r="O20" s="1663">
        <v>7190301123.1599998</v>
      </c>
      <c r="P20" s="1663">
        <f t="shared" si="2"/>
        <v>74716912983.964203</v>
      </c>
    </row>
    <row r="21" spans="2:16" ht="15">
      <c r="B21" s="1662"/>
      <c r="C21" s="1662" t="s">
        <v>1739</v>
      </c>
      <c r="D21" s="1663">
        <v>2906808725</v>
      </c>
      <c r="E21" s="1663">
        <v>0</v>
      </c>
      <c r="F21" s="1663">
        <v>0</v>
      </c>
      <c r="G21" s="1663">
        <v>34244000</v>
      </c>
      <c r="H21" s="1663">
        <v>0</v>
      </c>
      <c r="I21" s="1663">
        <v>0</v>
      </c>
      <c r="J21" s="1663">
        <v>0</v>
      </c>
      <c r="K21" s="1663">
        <v>0</v>
      </c>
      <c r="L21" s="1663">
        <v>0</v>
      </c>
      <c r="M21" s="1663">
        <v>3950000</v>
      </c>
      <c r="N21" s="1663">
        <v>80560000</v>
      </c>
      <c r="O21" s="1663">
        <v>547491500</v>
      </c>
      <c r="P21" s="1663">
        <f t="shared" si="2"/>
        <v>3504566225</v>
      </c>
    </row>
    <row r="22" spans="2:16" ht="15">
      <c r="B22" s="1659" t="s">
        <v>1740</v>
      </c>
      <c r="C22" s="1659"/>
      <c r="D22" s="1660">
        <f>SUM(D23:D24)</f>
        <v>1159714109736.3042</v>
      </c>
      <c r="E22" s="1660">
        <f t="shared" ref="E22:P22" si="3">SUM(E23:E24)</f>
        <v>0</v>
      </c>
      <c r="F22" s="1660">
        <f t="shared" si="3"/>
        <v>5591277400</v>
      </c>
      <c r="G22" s="1660">
        <f t="shared" si="3"/>
        <v>2743786800</v>
      </c>
      <c r="H22" s="1660">
        <f t="shared" si="3"/>
        <v>528654320</v>
      </c>
      <c r="I22" s="1660">
        <f t="shared" si="3"/>
        <v>1697776000</v>
      </c>
      <c r="J22" s="1660">
        <f t="shared" si="3"/>
        <v>5591277400</v>
      </c>
      <c r="K22" s="1660">
        <f t="shared" si="3"/>
        <v>13196080165.200001</v>
      </c>
      <c r="L22" s="1660">
        <f t="shared" si="3"/>
        <v>21987209817</v>
      </c>
      <c r="M22" s="1660">
        <f t="shared" si="3"/>
        <v>2283238153.0799999</v>
      </c>
      <c r="N22" s="1660">
        <f t="shared" si="3"/>
        <v>0</v>
      </c>
      <c r="O22" s="1660">
        <f t="shared" si="3"/>
        <v>31937868805.150002</v>
      </c>
      <c r="P22" s="1661">
        <f t="shared" si="3"/>
        <v>1227543841556.7341</v>
      </c>
    </row>
    <row r="23" spans="2:16" ht="15">
      <c r="B23" s="1662"/>
      <c r="C23" s="1662" t="s">
        <v>1741</v>
      </c>
      <c r="D23" s="1663">
        <v>1133910205676.6941</v>
      </c>
      <c r="E23" s="1663">
        <v>0</v>
      </c>
      <c r="F23" s="1663">
        <v>5591277400</v>
      </c>
      <c r="G23" s="1663">
        <v>237311800</v>
      </c>
      <c r="H23" s="1663">
        <v>528654320</v>
      </c>
      <c r="I23" s="1663">
        <v>1589382000</v>
      </c>
      <c r="J23" s="1663">
        <v>5591277400</v>
      </c>
      <c r="K23" s="1663">
        <v>13196080165.200001</v>
      </c>
      <c r="L23" s="1663">
        <v>21987209817</v>
      </c>
      <c r="M23" s="1663">
        <v>2283238153.0799999</v>
      </c>
      <c r="N23" s="1663">
        <v>0</v>
      </c>
      <c r="O23" s="1663">
        <v>29338993805.150002</v>
      </c>
      <c r="P23" s="1663">
        <f>SUM(D23-E23-F23-G23-H23+I23+J23+K23+L23+M23+N23+O23)</f>
        <v>1201539143497.124</v>
      </c>
    </row>
    <row r="24" spans="2:16" ht="15">
      <c r="B24" s="1662"/>
      <c r="C24" s="1662" t="s">
        <v>1742</v>
      </c>
      <c r="D24" s="1663">
        <v>25803904059.61002</v>
      </c>
      <c r="E24" s="1663">
        <v>0</v>
      </c>
      <c r="F24" s="1663">
        <v>0</v>
      </c>
      <c r="G24" s="1663">
        <v>2506475000</v>
      </c>
      <c r="H24" s="1663">
        <v>0</v>
      </c>
      <c r="I24" s="1663">
        <v>108394000</v>
      </c>
      <c r="J24" s="1663">
        <v>0</v>
      </c>
      <c r="K24" s="1663">
        <v>0</v>
      </c>
      <c r="L24" s="1663">
        <v>0</v>
      </c>
      <c r="M24" s="1663">
        <v>0</v>
      </c>
      <c r="N24" s="1663">
        <v>0</v>
      </c>
      <c r="O24" s="1663">
        <v>2598875000</v>
      </c>
      <c r="P24" s="1663">
        <f>SUM(D24-E24-F24-G24-H24+I24+J24+K24+L24+M24+N24+O24)</f>
        <v>26004698059.61002</v>
      </c>
    </row>
    <row r="25" spans="2:16" ht="15">
      <c r="B25" s="1659" t="s">
        <v>1743</v>
      </c>
      <c r="C25" s="1659"/>
      <c r="D25" s="1660">
        <f>SUM(D26:D29)</f>
        <v>2546022960677.54</v>
      </c>
      <c r="E25" s="1660">
        <f t="shared" ref="E25:P25" si="4">SUM(E26:E29)</f>
        <v>3</v>
      </c>
      <c r="F25" s="1660">
        <f t="shared" si="4"/>
        <v>0</v>
      </c>
      <c r="G25" s="1660">
        <f t="shared" si="4"/>
        <v>1151039000</v>
      </c>
      <c r="H25" s="1660">
        <f t="shared" si="4"/>
        <v>0</v>
      </c>
      <c r="I25" s="1660">
        <f t="shared" si="4"/>
        <v>302443000</v>
      </c>
      <c r="J25" s="1660">
        <f t="shared" si="4"/>
        <v>0</v>
      </c>
      <c r="K25" s="1660">
        <f t="shared" si="4"/>
        <v>690812627.35000014</v>
      </c>
      <c r="L25" s="1660">
        <f t="shared" si="4"/>
        <v>3095306430</v>
      </c>
      <c r="M25" s="1660">
        <f t="shared" si="4"/>
        <v>354363683</v>
      </c>
      <c r="N25" s="1660">
        <f t="shared" si="4"/>
        <v>41363880</v>
      </c>
      <c r="O25" s="1660">
        <f t="shared" si="4"/>
        <v>163126022998.39999</v>
      </c>
      <c r="P25" s="1661">
        <f t="shared" si="4"/>
        <v>2712482234293.2896</v>
      </c>
    </row>
    <row r="26" spans="2:16" ht="15">
      <c r="B26" s="1662"/>
      <c r="C26" s="1662" t="s">
        <v>1744</v>
      </c>
      <c r="D26" s="1663">
        <v>2173111919144.8398</v>
      </c>
      <c r="E26" s="1663">
        <v>0</v>
      </c>
      <c r="F26" s="1663">
        <v>0</v>
      </c>
      <c r="G26" s="1663">
        <v>1151039000</v>
      </c>
      <c r="H26" s="1663">
        <v>0</v>
      </c>
      <c r="I26" s="1663">
        <v>0</v>
      </c>
      <c r="J26" s="1663">
        <v>0</v>
      </c>
      <c r="K26" s="1663">
        <v>193008750</v>
      </c>
      <c r="L26" s="1663">
        <v>2392324680</v>
      </c>
      <c r="M26" s="1663">
        <v>187589500</v>
      </c>
      <c r="N26" s="1663">
        <v>0</v>
      </c>
      <c r="O26" s="1663">
        <v>153014221562</v>
      </c>
      <c r="P26" s="1663">
        <f>SUM(D26-E26-F26-G26-H26+I26+J26+K26+L26+M26+N26+O26)</f>
        <v>2327748024636.8398</v>
      </c>
    </row>
    <row r="27" spans="2:16" ht="15">
      <c r="B27" s="1662"/>
      <c r="C27" s="1662" t="s">
        <v>1745</v>
      </c>
      <c r="D27" s="1663">
        <v>263534563489.41</v>
      </c>
      <c r="E27" s="1663">
        <v>0</v>
      </c>
      <c r="F27" s="1663">
        <v>0</v>
      </c>
      <c r="G27" s="1663">
        <v>0</v>
      </c>
      <c r="H27" s="1663">
        <v>0</v>
      </c>
      <c r="I27" s="1663">
        <v>0</v>
      </c>
      <c r="J27" s="1663">
        <v>0</v>
      </c>
      <c r="K27" s="1663">
        <v>421422870.17000002</v>
      </c>
      <c r="L27" s="1663">
        <v>560964250</v>
      </c>
      <c r="M27" s="1663">
        <v>61722283</v>
      </c>
      <c r="N27" s="1663">
        <v>0</v>
      </c>
      <c r="O27" s="1663">
        <v>4757945000</v>
      </c>
      <c r="P27" s="1663">
        <f>SUM(D27-E27-F27-G27-H27+I27+J27+K27+L27+M27+N27+O27)</f>
        <v>269336617892.58002</v>
      </c>
    </row>
    <row r="28" spans="2:16" ht="15">
      <c r="B28" s="1662"/>
      <c r="C28" s="1662" t="s">
        <v>1746</v>
      </c>
      <c r="D28" s="1663">
        <v>63773500896.489998</v>
      </c>
      <c r="E28" s="1663">
        <v>0</v>
      </c>
      <c r="F28" s="1663">
        <v>0</v>
      </c>
      <c r="G28" s="1663">
        <v>0</v>
      </c>
      <c r="H28" s="1663">
        <v>0</v>
      </c>
      <c r="I28" s="1663">
        <v>238000000</v>
      </c>
      <c r="J28" s="1663">
        <v>0</v>
      </c>
      <c r="K28" s="1663">
        <v>76381007.180000007</v>
      </c>
      <c r="L28" s="1663">
        <v>69300000</v>
      </c>
      <c r="M28" s="1663">
        <v>64916000</v>
      </c>
      <c r="N28" s="1663">
        <v>9270880</v>
      </c>
      <c r="O28" s="1663">
        <v>4044840649.4000001</v>
      </c>
      <c r="P28" s="1663">
        <f>SUM(D28-E28-F28-G28-H28+I28+J28+K28+L28+M28+N28+O28)</f>
        <v>68276209433.07</v>
      </c>
    </row>
    <row r="29" spans="2:16" ht="15">
      <c r="B29" s="1662"/>
      <c r="C29" s="1662" t="s">
        <v>1747</v>
      </c>
      <c r="D29" s="1663">
        <v>45602977146.800003</v>
      </c>
      <c r="E29" s="1663">
        <v>3</v>
      </c>
      <c r="F29" s="1663">
        <v>0</v>
      </c>
      <c r="G29" s="1663">
        <v>0</v>
      </c>
      <c r="H29" s="1663">
        <v>0</v>
      </c>
      <c r="I29" s="1663">
        <v>64443000</v>
      </c>
      <c r="J29" s="1663">
        <v>0</v>
      </c>
      <c r="K29" s="1663">
        <v>0</v>
      </c>
      <c r="L29" s="1663">
        <v>72717500</v>
      </c>
      <c r="M29" s="1663">
        <v>40135900</v>
      </c>
      <c r="N29" s="1663">
        <v>32093000</v>
      </c>
      <c r="O29" s="1663">
        <v>1309015787</v>
      </c>
      <c r="P29" s="1663">
        <f>SUM(D29-E29-F29-G29-H29+I29+J29+K29+L29+M29+N29+O29)</f>
        <v>47121382330.800003</v>
      </c>
    </row>
    <row r="30" spans="2:16" ht="15">
      <c r="B30" s="1659" t="s">
        <v>1748</v>
      </c>
      <c r="C30" s="1659"/>
      <c r="D30" s="1660">
        <f>SUM(D31:D34)</f>
        <v>38316449219.004105</v>
      </c>
      <c r="E30" s="1660">
        <f t="shared" ref="E30:P30" si="5">SUM(E31:E34)</f>
        <v>0</v>
      </c>
      <c r="F30" s="1660">
        <f t="shared" si="5"/>
        <v>0</v>
      </c>
      <c r="G30" s="1660">
        <f t="shared" si="5"/>
        <v>0</v>
      </c>
      <c r="H30" s="1660">
        <f t="shared" si="5"/>
        <v>0</v>
      </c>
      <c r="I30" s="1660">
        <f t="shared" si="5"/>
        <v>0</v>
      </c>
      <c r="J30" s="1660">
        <f t="shared" si="5"/>
        <v>0</v>
      </c>
      <c r="K30" s="1660">
        <f t="shared" si="5"/>
        <v>0</v>
      </c>
      <c r="L30" s="1660">
        <f t="shared" si="5"/>
        <v>168755354</v>
      </c>
      <c r="M30" s="1660">
        <f t="shared" si="5"/>
        <v>382174220</v>
      </c>
      <c r="N30" s="1660">
        <f t="shared" si="5"/>
        <v>8281979358</v>
      </c>
      <c r="O30" s="1660">
        <f t="shared" si="5"/>
        <v>389490340</v>
      </c>
      <c r="P30" s="1661">
        <f t="shared" si="5"/>
        <v>47538848491.004105</v>
      </c>
    </row>
    <row r="31" spans="2:16" ht="15">
      <c r="B31" s="1662"/>
      <c r="C31" s="1662" t="s">
        <v>1749</v>
      </c>
      <c r="D31" s="1663">
        <v>24396729211.004101</v>
      </c>
      <c r="E31" s="1663">
        <v>0</v>
      </c>
      <c r="F31" s="1663">
        <v>0</v>
      </c>
      <c r="G31" s="1663">
        <v>0</v>
      </c>
      <c r="H31" s="1663">
        <v>0</v>
      </c>
      <c r="I31" s="1663">
        <v>0</v>
      </c>
      <c r="J31" s="1663">
        <v>0</v>
      </c>
      <c r="K31" s="1663">
        <v>0</v>
      </c>
      <c r="L31" s="1663">
        <v>555354</v>
      </c>
      <c r="M31" s="1663">
        <v>115177220</v>
      </c>
      <c r="N31" s="1663">
        <v>8080249158</v>
      </c>
      <c r="O31" s="1663">
        <v>71838340</v>
      </c>
      <c r="P31" s="1663">
        <f>SUM(D31-E31-F31-G31-H31+I31+J31+K31+L31+M31+N31+O31)</f>
        <v>32664549283.004101</v>
      </c>
    </row>
    <row r="32" spans="2:16" ht="15">
      <c r="B32" s="1662"/>
      <c r="C32" s="1662" t="s">
        <v>1750</v>
      </c>
      <c r="D32" s="1663">
        <v>6838707752</v>
      </c>
      <c r="E32" s="1663">
        <v>0</v>
      </c>
      <c r="F32" s="1663">
        <v>0</v>
      </c>
      <c r="G32" s="1663">
        <v>0</v>
      </c>
      <c r="H32" s="1663">
        <v>0</v>
      </c>
      <c r="I32" s="1663">
        <v>0</v>
      </c>
      <c r="J32" s="1663">
        <v>0</v>
      </c>
      <c r="K32" s="1663">
        <v>0</v>
      </c>
      <c r="L32" s="1663">
        <v>168200000</v>
      </c>
      <c r="M32" s="1663">
        <v>145250000</v>
      </c>
      <c r="N32" s="1663">
        <v>195841000</v>
      </c>
      <c r="O32" s="1663">
        <v>40000000</v>
      </c>
      <c r="P32" s="1663">
        <f>SUM(D32-E32-F32-G32-H32+I32+J32+K32+L32+M32+N32+O32)</f>
        <v>7387998752</v>
      </c>
    </row>
    <row r="33" spans="2:16" ht="15">
      <c r="B33" s="1662"/>
      <c r="C33" s="1662" t="s">
        <v>1751</v>
      </c>
      <c r="D33" s="1663">
        <v>734372256</v>
      </c>
      <c r="E33" s="1663">
        <v>0</v>
      </c>
      <c r="F33" s="1663">
        <v>0</v>
      </c>
      <c r="G33" s="1663">
        <v>0</v>
      </c>
      <c r="H33" s="1663">
        <v>0</v>
      </c>
      <c r="I33" s="1663">
        <v>0</v>
      </c>
      <c r="J33" s="1663">
        <v>0</v>
      </c>
      <c r="K33" s="1663">
        <v>0</v>
      </c>
      <c r="L33" s="1663">
        <v>0</v>
      </c>
      <c r="M33" s="1663">
        <v>0</v>
      </c>
      <c r="N33" s="1663">
        <v>5889200</v>
      </c>
      <c r="O33" s="1663">
        <v>0</v>
      </c>
      <c r="P33" s="1663">
        <f>SUM(D33-E33-F33-G33-H33+I33+J33+K33+L33+M33+N33+O33)</f>
        <v>740261456</v>
      </c>
    </row>
    <row r="34" spans="2:16" ht="15">
      <c r="B34" s="1662"/>
      <c r="C34" s="1662" t="s">
        <v>1752</v>
      </c>
      <c r="D34" s="1663">
        <v>6346640000</v>
      </c>
      <c r="E34" s="1663">
        <v>0</v>
      </c>
      <c r="F34" s="1663">
        <v>0</v>
      </c>
      <c r="G34" s="1663">
        <v>0</v>
      </c>
      <c r="H34" s="1663">
        <v>0</v>
      </c>
      <c r="I34" s="1663">
        <v>0</v>
      </c>
      <c r="J34" s="1663">
        <v>0</v>
      </c>
      <c r="K34" s="1663">
        <v>0</v>
      </c>
      <c r="L34" s="1663">
        <v>0</v>
      </c>
      <c r="M34" s="1663">
        <v>121747000</v>
      </c>
      <c r="N34" s="1663">
        <v>0</v>
      </c>
      <c r="O34" s="1663">
        <v>277652000</v>
      </c>
      <c r="P34" s="1663">
        <f>SUM(D34-E34-F34-G34-H34+I34+J34+K34+L34+M34+N34+O34)</f>
        <v>6746039000</v>
      </c>
    </row>
    <row r="35" spans="2:16" ht="15">
      <c r="B35" s="1662"/>
      <c r="C35" s="1662"/>
      <c r="D35" s="1663"/>
      <c r="E35" s="1663"/>
      <c r="F35" s="1663"/>
      <c r="G35" s="1663"/>
      <c r="H35" s="1663"/>
      <c r="I35" s="1663"/>
      <c r="J35" s="1663"/>
      <c r="K35" s="1663"/>
      <c r="L35" s="1663"/>
      <c r="M35" s="1663"/>
      <c r="N35" s="1663"/>
      <c r="O35" s="1663"/>
      <c r="P35" s="1663"/>
    </row>
    <row r="36" spans="2:16" ht="15">
      <c r="B36" s="1659" t="s">
        <v>1753</v>
      </c>
      <c r="C36" s="1659"/>
      <c r="D36" s="1660">
        <f>SUM(D37)</f>
        <v>53659895692.770004</v>
      </c>
      <c r="E36" s="1660">
        <f t="shared" ref="E36:P36" si="6">SUM(E37)</f>
        <v>1697776000</v>
      </c>
      <c r="F36" s="1660">
        <f t="shared" si="6"/>
        <v>0</v>
      </c>
      <c r="G36" s="1660">
        <f t="shared" si="6"/>
        <v>13405170227.77</v>
      </c>
      <c r="H36" s="1660">
        <f t="shared" si="6"/>
        <v>0</v>
      </c>
      <c r="I36" s="1660">
        <f t="shared" si="6"/>
        <v>0</v>
      </c>
      <c r="J36" s="1660">
        <f t="shared" si="6"/>
        <v>0</v>
      </c>
      <c r="K36" s="1660">
        <f t="shared" si="6"/>
        <v>0</v>
      </c>
      <c r="L36" s="1660">
        <f t="shared" si="6"/>
        <v>0</v>
      </c>
      <c r="M36" s="1660">
        <f t="shared" si="6"/>
        <v>1466381750</v>
      </c>
      <c r="N36" s="1660">
        <f t="shared" si="6"/>
        <v>0</v>
      </c>
      <c r="O36" s="1660">
        <f t="shared" si="6"/>
        <v>29907187462.880001</v>
      </c>
      <c r="P36" s="1661">
        <f t="shared" si="6"/>
        <v>69930518677.880005</v>
      </c>
    </row>
    <row r="37" spans="2:16" s="1664" customFormat="1" ht="15">
      <c r="B37" s="1662"/>
      <c r="C37" s="1662" t="s">
        <v>1753</v>
      </c>
      <c r="D37" s="1663">
        <v>53659895692.770004</v>
      </c>
      <c r="E37" s="1663">
        <v>1697776000</v>
      </c>
      <c r="F37" s="1663">
        <v>0</v>
      </c>
      <c r="G37" s="1663">
        <v>13405170227.77</v>
      </c>
      <c r="H37" s="1663">
        <v>0</v>
      </c>
      <c r="I37" s="1663">
        <v>0</v>
      </c>
      <c r="J37" s="1663">
        <v>0</v>
      </c>
      <c r="K37" s="1663">
        <v>0</v>
      </c>
      <c r="L37" s="1663">
        <v>0</v>
      </c>
      <c r="M37" s="1663">
        <v>1466381750</v>
      </c>
      <c r="N37" s="1663">
        <v>0</v>
      </c>
      <c r="O37" s="1663">
        <v>29907187462.880001</v>
      </c>
      <c r="P37" s="1663">
        <f>SUM(D37-E37-F37-G37-H37+I37+J37+K37+L37+M37+N37+O37)</f>
        <v>69930518677.880005</v>
      </c>
    </row>
    <row r="38" spans="2:16" ht="15">
      <c r="B38" s="1659"/>
      <c r="C38" s="1662"/>
      <c r="D38" s="1660"/>
      <c r="E38" s="1660"/>
      <c r="F38" s="1660"/>
      <c r="G38" s="1660"/>
      <c r="H38" s="1660"/>
      <c r="I38" s="1660"/>
      <c r="J38" s="1660"/>
      <c r="K38" s="1660"/>
      <c r="L38" s="1660"/>
      <c r="M38" s="1660"/>
      <c r="N38" s="1660"/>
      <c r="O38" s="1660"/>
      <c r="P38" s="1660"/>
    </row>
    <row r="39" spans="2:16" ht="15">
      <c r="B39" s="1659" t="s">
        <v>1754</v>
      </c>
      <c r="C39" s="1659"/>
      <c r="D39" s="1660">
        <f>SUM(D40)</f>
        <v>1586422126584</v>
      </c>
      <c r="E39" s="1660">
        <f t="shared" ref="E39:O39" si="7">SUM(E40)</f>
        <v>7072408638</v>
      </c>
      <c r="F39" s="1660">
        <f t="shared" si="7"/>
        <v>11377533924</v>
      </c>
      <c r="G39" s="1660">
        <f t="shared" si="7"/>
        <v>0</v>
      </c>
      <c r="H39" s="1660">
        <f t="shared" si="7"/>
        <v>518977951</v>
      </c>
      <c r="I39" s="1660">
        <f t="shared" si="7"/>
        <v>236581080884</v>
      </c>
      <c r="J39" s="1660">
        <f t="shared" si="7"/>
        <v>1077322785</v>
      </c>
      <c r="K39" s="1660">
        <f t="shared" si="7"/>
        <v>0</v>
      </c>
      <c r="L39" s="1660">
        <f t="shared" si="7"/>
        <v>0</v>
      </c>
      <c r="M39" s="1660">
        <f t="shared" si="7"/>
        <v>0</v>
      </c>
      <c r="N39" s="1660">
        <f t="shared" si="7"/>
        <v>0</v>
      </c>
      <c r="O39" s="1660">
        <f t="shared" si="7"/>
        <v>0</v>
      </c>
      <c r="P39" s="1661">
        <f>SUM(P40)</f>
        <v>1805111609740</v>
      </c>
    </row>
    <row r="40" spans="2:16" s="1664" customFormat="1" ht="15">
      <c r="B40" s="1662"/>
      <c r="C40" s="1662" t="s">
        <v>1754</v>
      </c>
      <c r="D40" s="1663">
        <v>1586422126584</v>
      </c>
      <c r="E40" s="1663">
        <v>7072408638</v>
      </c>
      <c r="F40" s="1663">
        <v>11377533924</v>
      </c>
      <c r="G40" s="1663">
        <v>0</v>
      </c>
      <c r="H40" s="1663">
        <v>518977951</v>
      </c>
      <c r="I40" s="1663">
        <v>236581080884</v>
      </c>
      <c r="J40" s="1663">
        <v>1077322785</v>
      </c>
      <c r="K40" s="1663">
        <v>0</v>
      </c>
      <c r="L40" s="1663">
        <v>0</v>
      </c>
      <c r="M40" s="1663">
        <v>0</v>
      </c>
      <c r="N40" s="1663">
        <v>0</v>
      </c>
      <c r="O40" s="1663">
        <v>0</v>
      </c>
      <c r="P40" s="1663">
        <f>(D40+I40+J40+K40+L40+M40+N40+O40)-(E40+F40+G40+H40)</f>
        <v>1805111609740</v>
      </c>
    </row>
    <row r="41" spans="2:16" ht="15">
      <c r="B41" s="1659"/>
      <c r="C41" s="1659"/>
      <c r="D41" s="1660"/>
      <c r="E41" s="1660"/>
      <c r="F41" s="1660"/>
      <c r="G41" s="1660"/>
      <c r="H41" s="1660"/>
      <c r="I41" s="1660"/>
      <c r="J41" s="1660"/>
      <c r="K41" s="1660"/>
      <c r="L41" s="1660"/>
      <c r="M41" s="1660"/>
      <c r="N41" s="1660"/>
      <c r="O41" s="1660"/>
      <c r="P41" s="1660"/>
    </row>
    <row r="42" spans="2:16" ht="15">
      <c r="B42" s="1659"/>
      <c r="C42" s="1659"/>
      <c r="D42" s="1660"/>
      <c r="E42" s="1660"/>
      <c r="F42" s="1660"/>
      <c r="G42" s="1660"/>
      <c r="H42" s="1660"/>
      <c r="I42" s="1660"/>
      <c r="J42" s="1660"/>
      <c r="K42" s="1660"/>
      <c r="L42" s="1660"/>
      <c r="M42" s="1660"/>
      <c r="N42" s="1660"/>
      <c r="O42" s="1660"/>
      <c r="P42" s="1660"/>
    </row>
    <row r="43" spans="2:16" ht="15">
      <c r="B43" s="2114" t="s">
        <v>9</v>
      </c>
      <c r="C43" s="2115"/>
      <c r="D43" s="1667">
        <f t="shared" ref="D43" si="8">SUM(D10+D12+D22+D25+D30+D36+D39)</f>
        <v>6783519454459.9102</v>
      </c>
      <c r="E43" s="1667">
        <f>SUM(E10+E12+E22+E25+E30+E36-E39)</f>
        <v>-5374632635</v>
      </c>
      <c r="F43" s="1667">
        <f t="shared" ref="F43:P43" si="9">SUM(F10+F12+F22+F25+F30+F36-F39)</f>
        <v>15010055346</v>
      </c>
      <c r="G43" s="1667">
        <f t="shared" si="9"/>
        <v>35510301002.770004</v>
      </c>
      <c r="H43" s="1667">
        <f t="shared" si="9"/>
        <v>1746247369</v>
      </c>
      <c r="I43" s="1667">
        <f t="shared" si="9"/>
        <v>-231359222034</v>
      </c>
      <c r="J43" s="1667">
        <f t="shared" si="9"/>
        <v>25804266485</v>
      </c>
      <c r="K43" s="1667">
        <f t="shared" si="9"/>
        <v>14022185792.550001</v>
      </c>
      <c r="L43" s="1667">
        <f t="shared" si="9"/>
        <v>37636724333</v>
      </c>
      <c r="M43" s="1667">
        <f t="shared" si="9"/>
        <v>5282813504.0799999</v>
      </c>
      <c r="N43" s="1667">
        <f t="shared" si="9"/>
        <v>16461229957</v>
      </c>
      <c r="O43" s="1667">
        <f t="shared" si="9"/>
        <v>297610424097.64996</v>
      </c>
      <c r="P43" s="1667">
        <f t="shared" si="9"/>
        <v>3729241652344.4189</v>
      </c>
    </row>
    <row r="45" spans="2:16">
      <c r="N45" s="1668"/>
      <c r="P45" s="1669"/>
    </row>
    <row r="46" spans="2:16">
      <c r="F46" s="1670"/>
      <c r="J46" s="1670"/>
      <c r="P46" s="1669"/>
    </row>
    <row r="47" spans="2:16">
      <c r="P47" s="1669"/>
    </row>
    <row r="48" spans="2:16">
      <c r="P48" s="1669"/>
    </row>
    <row r="49" spans="16:16">
      <c r="P49" s="1669"/>
    </row>
    <row r="50" spans="16:16">
      <c r="P50" s="1669"/>
    </row>
  </sheetData>
  <mergeCells count="10">
    <mergeCell ref="B9:C9"/>
    <mergeCell ref="B43:C43"/>
    <mergeCell ref="B2:I2"/>
    <mergeCell ref="B3:I3"/>
    <mergeCell ref="B6:C8"/>
    <mergeCell ref="D6:D8"/>
    <mergeCell ref="E6:P6"/>
    <mergeCell ref="E7:H7"/>
    <mergeCell ref="I7:O7"/>
    <mergeCell ref="P7:P8"/>
  </mergeCells>
  <pageMargins left="0.70866141732283472" right="0.15" top="0.71" bottom="0.74803149606299213" header="0.31496062992125984" footer="0.31496062992125984"/>
  <pageSetup paperSize="9" scale="70" orientation="landscape" horizontalDpi="0" verticalDpi="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rgb="FF00B0F0"/>
  </sheetPr>
  <dimension ref="A2:L149"/>
  <sheetViews>
    <sheetView workbookViewId="0">
      <selection activeCell="J6" sqref="J6"/>
    </sheetView>
  </sheetViews>
  <sheetFormatPr defaultColWidth="9.140625" defaultRowHeight="12.75"/>
  <cols>
    <col min="1" max="1" width="0.140625" style="206" customWidth="1"/>
    <col min="2" max="2" width="3.42578125" style="123" customWidth="1"/>
    <col min="3" max="3" width="4.28515625" style="123" customWidth="1"/>
    <col min="4" max="4" width="45.28515625" style="120" customWidth="1"/>
    <col min="5" max="5" width="14.5703125" style="120" customWidth="1"/>
    <col min="6" max="6" width="14.85546875" style="120" customWidth="1"/>
    <col min="7" max="7" width="14" style="120" customWidth="1"/>
    <col min="8" max="8" width="12.7109375" style="120" customWidth="1"/>
    <col min="9" max="9" width="15" style="120" customWidth="1"/>
    <col min="10" max="10" width="14.5703125" style="120" customWidth="1"/>
    <col min="11" max="11" width="15.42578125" style="120" customWidth="1"/>
    <col min="12" max="12" width="14" style="120" customWidth="1"/>
    <col min="13" max="16384" width="9.140625" style="120"/>
  </cols>
  <sheetData>
    <row r="2" spans="1:12" ht="15.75">
      <c r="B2" s="2129" t="s">
        <v>1464</v>
      </c>
      <c r="C2" s="2129"/>
      <c r="D2" s="2129"/>
      <c r="E2" s="2129"/>
      <c r="F2" s="2129"/>
      <c r="G2" s="2129"/>
      <c r="H2" s="2129"/>
      <c r="I2" s="2129"/>
      <c r="J2" s="2129"/>
      <c r="K2" s="2129"/>
      <c r="L2" s="219"/>
    </row>
    <row r="3" spans="1:12" ht="15.75">
      <c r="B3" s="2129" t="s">
        <v>1755</v>
      </c>
      <c r="C3" s="2129"/>
      <c r="D3" s="2129"/>
      <c r="E3" s="2129"/>
      <c r="F3" s="2129"/>
      <c r="G3" s="2129"/>
      <c r="H3" s="2129"/>
      <c r="I3" s="2129"/>
      <c r="J3" s="2129"/>
      <c r="K3" s="2129"/>
      <c r="L3" s="219"/>
    </row>
    <row r="5" spans="1:12">
      <c r="B5" s="207"/>
      <c r="C5" s="207"/>
      <c r="D5" s="208"/>
      <c r="E5" s="208"/>
      <c r="F5" s="208"/>
      <c r="G5" s="208"/>
      <c r="H5" s="208"/>
      <c r="I5" s="208"/>
      <c r="J5" s="208"/>
      <c r="K5" s="220" t="s">
        <v>3</v>
      </c>
    </row>
    <row r="6" spans="1:12" ht="24">
      <c r="B6" s="209" t="s">
        <v>4</v>
      </c>
      <c r="C6" s="209" t="s">
        <v>68</v>
      </c>
      <c r="D6" s="210" t="s">
        <v>925</v>
      </c>
      <c r="E6" s="210" t="s">
        <v>1756</v>
      </c>
      <c r="F6" s="209" t="s">
        <v>771</v>
      </c>
      <c r="G6" s="209" t="s">
        <v>772</v>
      </c>
      <c r="H6" s="210" t="s">
        <v>1757</v>
      </c>
      <c r="I6" s="210" t="s">
        <v>1758</v>
      </c>
      <c r="J6" s="209" t="s">
        <v>1759</v>
      </c>
      <c r="K6" s="210" t="s">
        <v>1760</v>
      </c>
    </row>
    <row r="7" spans="1:12" s="203" customFormat="1" ht="12">
      <c r="A7" s="211"/>
      <c r="B7" s="212">
        <v>1</v>
      </c>
      <c r="C7" s="2130" t="s">
        <v>155</v>
      </c>
      <c r="D7" s="2131"/>
      <c r="E7" s="213"/>
      <c r="F7" s="213"/>
      <c r="G7" s="213"/>
      <c r="H7" s="213"/>
      <c r="I7" s="213"/>
      <c r="J7" s="213"/>
      <c r="K7" s="221">
        <v>337282000</v>
      </c>
    </row>
    <row r="8" spans="1:12" s="204" customFormat="1" ht="48">
      <c r="A8" s="214"/>
      <c r="B8" s="215"/>
      <c r="C8" s="215">
        <v>1</v>
      </c>
      <c r="D8" s="216" t="s">
        <v>1761</v>
      </c>
      <c r="E8" s="217">
        <v>44627000</v>
      </c>
      <c r="F8" s="217">
        <v>0</v>
      </c>
      <c r="G8" s="217">
        <v>0</v>
      </c>
      <c r="H8" s="217">
        <v>0</v>
      </c>
      <c r="I8" s="217">
        <v>0</v>
      </c>
      <c r="J8" s="217">
        <v>44627000</v>
      </c>
      <c r="K8" s="222"/>
    </row>
    <row r="9" spans="1:12" s="204" customFormat="1" ht="12">
      <c r="A9" s="214"/>
      <c r="B9" s="215"/>
      <c r="C9" s="215">
        <v>2</v>
      </c>
      <c r="D9" s="216" t="s">
        <v>1762</v>
      </c>
      <c r="E9" s="217">
        <v>292655000</v>
      </c>
      <c r="F9" s="217"/>
      <c r="G9" s="217">
        <v>0</v>
      </c>
      <c r="H9" s="217">
        <v>0</v>
      </c>
      <c r="I9" s="217">
        <v>0</v>
      </c>
      <c r="J9" s="217">
        <v>292655000</v>
      </c>
      <c r="K9" s="222"/>
    </row>
    <row r="10" spans="1:12" s="204" customFormat="1" ht="12">
      <c r="A10" s="214"/>
      <c r="B10" s="215"/>
      <c r="C10" s="215"/>
      <c r="D10" s="216"/>
      <c r="E10" s="217"/>
      <c r="F10" s="217"/>
      <c r="G10" s="217"/>
      <c r="H10" s="217"/>
      <c r="I10" s="217"/>
      <c r="J10" s="217"/>
      <c r="K10" s="217"/>
    </row>
    <row r="11" spans="1:12" s="203" customFormat="1" ht="12">
      <c r="A11" s="211"/>
      <c r="B11" s="218">
        <v>2</v>
      </c>
      <c r="C11" s="2130" t="s">
        <v>1763</v>
      </c>
      <c r="D11" s="2131"/>
      <c r="E11" s="213"/>
      <c r="F11" s="213"/>
      <c r="G11" s="213"/>
      <c r="H11" s="213"/>
      <c r="I11" s="213"/>
      <c r="J11" s="213"/>
      <c r="K11" s="213">
        <v>30834623450</v>
      </c>
    </row>
    <row r="12" spans="1:12" s="204" customFormat="1" ht="12">
      <c r="A12" s="214"/>
      <c r="B12" s="215"/>
      <c r="C12" s="215">
        <v>1</v>
      </c>
      <c r="D12" s="216" t="s">
        <v>1764</v>
      </c>
      <c r="E12" s="217">
        <v>197120000</v>
      </c>
      <c r="F12" s="217">
        <v>0</v>
      </c>
      <c r="G12" s="217">
        <v>0</v>
      </c>
      <c r="H12" s="217">
        <v>0</v>
      </c>
      <c r="I12" s="217">
        <v>0</v>
      </c>
      <c r="J12" s="217">
        <v>197120000</v>
      </c>
      <c r="K12" s="217"/>
    </row>
    <row r="13" spans="1:12" s="204" customFormat="1" ht="12">
      <c r="A13" s="214"/>
      <c r="B13" s="215"/>
      <c r="C13" s="215">
        <v>2</v>
      </c>
      <c r="D13" s="216" t="s">
        <v>1765</v>
      </c>
      <c r="E13" s="217">
        <v>196845000</v>
      </c>
      <c r="F13" s="217">
        <v>0</v>
      </c>
      <c r="G13" s="217">
        <v>0</v>
      </c>
      <c r="H13" s="217">
        <v>0</v>
      </c>
      <c r="I13" s="217">
        <v>0</v>
      </c>
      <c r="J13" s="217">
        <v>196845000</v>
      </c>
      <c r="K13" s="217"/>
    </row>
    <row r="14" spans="1:12" s="204" customFormat="1" ht="12">
      <c r="A14" s="214"/>
      <c r="B14" s="215"/>
      <c r="C14" s="215">
        <v>3</v>
      </c>
      <c r="D14" s="216" t="s">
        <v>1766</v>
      </c>
      <c r="E14" s="217">
        <v>171160000</v>
      </c>
      <c r="F14" s="217">
        <v>0</v>
      </c>
      <c r="G14" s="217">
        <v>0</v>
      </c>
      <c r="H14" s="217">
        <v>0</v>
      </c>
      <c r="I14" s="217">
        <v>0</v>
      </c>
      <c r="J14" s="217">
        <v>171160000</v>
      </c>
      <c r="K14" s="217"/>
    </row>
    <row r="15" spans="1:12" s="204" customFormat="1" ht="12">
      <c r="A15" s="214"/>
      <c r="B15" s="215"/>
      <c r="C15" s="215">
        <v>4</v>
      </c>
      <c r="D15" s="216" t="s">
        <v>1767</v>
      </c>
      <c r="E15" s="217">
        <v>148566000</v>
      </c>
      <c r="F15" s="217">
        <v>0</v>
      </c>
      <c r="G15" s="217">
        <v>0</v>
      </c>
      <c r="H15" s="217">
        <v>0</v>
      </c>
      <c r="I15" s="217">
        <v>0</v>
      </c>
      <c r="J15" s="217">
        <v>148566000</v>
      </c>
      <c r="K15" s="217"/>
    </row>
    <row r="16" spans="1:12" s="204" customFormat="1" ht="12">
      <c r="A16" s="214"/>
      <c r="B16" s="215"/>
      <c r="C16" s="215">
        <v>5</v>
      </c>
      <c r="D16" s="216" t="s">
        <v>1768</v>
      </c>
      <c r="E16" s="217">
        <v>0</v>
      </c>
      <c r="F16" s="217">
        <v>30120932450</v>
      </c>
      <c r="G16" s="217">
        <v>0</v>
      </c>
      <c r="H16" s="217">
        <v>0</v>
      </c>
      <c r="I16" s="217">
        <v>0</v>
      </c>
      <c r="J16" s="217">
        <v>30120932450</v>
      </c>
      <c r="K16" s="217"/>
    </row>
    <row r="17" spans="1:11" s="203" customFormat="1" ht="12">
      <c r="A17" s="211"/>
      <c r="B17" s="215"/>
      <c r="C17" s="215"/>
      <c r="D17" s="216"/>
      <c r="E17" s="217"/>
      <c r="F17" s="217"/>
      <c r="G17" s="217"/>
      <c r="H17" s="217"/>
      <c r="I17" s="217"/>
      <c r="J17" s="217"/>
      <c r="K17" s="217"/>
    </row>
    <row r="18" spans="1:11" s="204" customFormat="1" ht="12">
      <c r="A18" s="214"/>
      <c r="B18" s="218">
        <v>3</v>
      </c>
      <c r="C18" s="2130" t="s">
        <v>158</v>
      </c>
      <c r="D18" s="2131"/>
      <c r="E18" s="213"/>
      <c r="F18" s="213"/>
      <c r="G18" s="213"/>
      <c r="H18" s="213"/>
      <c r="I18" s="213"/>
      <c r="J18" s="213"/>
      <c r="K18" s="213">
        <v>142803000</v>
      </c>
    </row>
    <row r="19" spans="1:11" s="204" customFormat="1" ht="12">
      <c r="A19" s="214"/>
      <c r="B19" s="215"/>
      <c r="C19" s="215">
        <v>1</v>
      </c>
      <c r="D19" s="216" t="s">
        <v>1769</v>
      </c>
      <c r="E19" s="217">
        <v>49200000</v>
      </c>
      <c r="F19" s="217">
        <v>0</v>
      </c>
      <c r="G19" s="217">
        <v>0</v>
      </c>
      <c r="H19" s="217">
        <v>0</v>
      </c>
      <c r="I19" s="217">
        <v>0</v>
      </c>
      <c r="J19" s="217">
        <v>49200000</v>
      </c>
      <c r="K19" s="217"/>
    </row>
    <row r="20" spans="1:11" s="204" customFormat="1" ht="12">
      <c r="A20" s="214"/>
      <c r="B20" s="215"/>
      <c r="C20" s="215">
        <v>2</v>
      </c>
      <c r="D20" s="216" t="s">
        <v>1770</v>
      </c>
      <c r="E20" s="217">
        <v>44400000</v>
      </c>
      <c r="F20" s="217">
        <v>0</v>
      </c>
      <c r="G20" s="217">
        <v>0</v>
      </c>
      <c r="H20" s="217">
        <v>0</v>
      </c>
      <c r="I20" s="217">
        <v>0</v>
      </c>
      <c r="J20" s="217">
        <v>44400000</v>
      </c>
      <c r="K20" s="217"/>
    </row>
    <row r="21" spans="1:11" s="204" customFormat="1" ht="24">
      <c r="A21" s="214"/>
      <c r="B21" s="215"/>
      <c r="C21" s="215">
        <v>3</v>
      </c>
      <c r="D21" s="216" t="s">
        <v>1771</v>
      </c>
      <c r="E21" s="217">
        <v>49203000</v>
      </c>
      <c r="F21" s="217"/>
      <c r="G21" s="217">
        <v>0</v>
      </c>
      <c r="H21" s="217">
        <v>0</v>
      </c>
      <c r="I21" s="217">
        <v>0</v>
      </c>
      <c r="J21" s="217">
        <v>49203000</v>
      </c>
      <c r="K21" s="217"/>
    </row>
    <row r="22" spans="1:11" s="203" customFormat="1" ht="12">
      <c r="A22" s="211"/>
      <c r="B22" s="215"/>
      <c r="C22" s="215"/>
      <c r="D22" s="216"/>
      <c r="E22" s="217"/>
      <c r="F22" s="217"/>
      <c r="G22" s="217"/>
      <c r="H22" s="217"/>
      <c r="I22" s="217"/>
      <c r="J22" s="217"/>
      <c r="K22" s="217"/>
    </row>
    <row r="23" spans="1:11" s="204" customFormat="1" ht="12">
      <c r="A23" s="214"/>
      <c r="B23" s="218">
        <v>4</v>
      </c>
      <c r="C23" s="2130" t="s">
        <v>1772</v>
      </c>
      <c r="D23" s="2131"/>
      <c r="E23" s="213"/>
      <c r="F23" s="213"/>
      <c r="G23" s="213"/>
      <c r="H23" s="213"/>
      <c r="I23" s="213"/>
      <c r="J23" s="213"/>
      <c r="K23" s="213">
        <v>19323855300</v>
      </c>
    </row>
    <row r="24" spans="1:11" s="204" customFormat="1" ht="12">
      <c r="A24" s="214"/>
      <c r="B24" s="215"/>
      <c r="C24" s="215">
        <v>4</v>
      </c>
      <c r="D24" s="216" t="s">
        <v>1773</v>
      </c>
      <c r="E24" s="217">
        <v>272378000</v>
      </c>
      <c r="F24" s="217">
        <v>0</v>
      </c>
      <c r="G24" s="217">
        <v>0</v>
      </c>
      <c r="H24" s="217">
        <v>0</v>
      </c>
      <c r="I24" s="217">
        <v>0</v>
      </c>
      <c r="J24" s="217">
        <v>272378000</v>
      </c>
      <c r="K24" s="217"/>
    </row>
    <row r="25" spans="1:11" s="204" customFormat="1" ht="12">
      <c r="A25" s="214"/>
      <c r="B25" s="215"/>
      <c r="C25" s="215">
        <v>5</v>
      </c>
      <c r="D25" s="216" t="s">
        <v>1774</v>
      </c>
      <c r="E25" s="217">
        <v>149092000</v>
      </c>
      <c r="F25" s="217">
        <v>0</v>
      </c>
      <c r="G25" s="217">
        <v>0</v>
      </c>
      <c r="H25" s="217">
        <v>0</v>
      </c>
      <c r="I25" s="217">
        <v>0</v>
      </c>
      <c r="J25" s="217">
        <v>149092000</v>
      </c>
      <c r="K25" s="217"/>
    </row>
    <row r="26" spans="1:11" s="204" customFormat="1" ht="12">
      <c r="A26" s="214"/>
      <c r="B26" s="215"/>
      <c r="C26" s="215">
        <v>6</v>
      </c>
      <c r="D26" s="216" t="s">
        <v>1775</v>
      </c>
      <c r="E26" s="217">
        <v>245778000</v>
      </c>
      <c r="F26" s="217">
        <v>0</v>
      </c>
      <c r="G26" s="217">
        <v>0</v>
      </c>
      <c r="H26" s="217">
        <v>0</v>
      </c>
      <c r="I26" s="217">
        <v>-245778000</v>
      </c>
      <c r="J26" s="217">
        <v>0</v>
      </c>
      <c r="K26" s="217"/>
    </row>
    <row r="27" spans="1:11" s="204" customFormat="1" ht="12">
      <c r="A27" s="214"/>
      <c r="B27" s="215"/>
      <c r="C27" s="215">
        <v>7</v>
      </c>
      <c r="D27" s="216" t="s">
        <v>1776</v>
      </c>
      <c r="E27" s="217">
        <v>566266000</v>
      </c>
      <c r="F27" s="217">
        <v>0</v>
      </c>
      <c r="G27" s="217">
        <v>0</v>
      </c>
      <c r="H27" s="217">
        <v>0</v>
      </c>
      <c r="I27" s="217">
        <v>0</v>
      </c>
      <c r="J27" s="217">
        <v>566266000</v>
      </c>
      <c r="K27" s="217"/>
    </row>
    <row r="28" spans="1:11" s="204" customFormat="1" ht="12">
      <c r="A28" s="214"/>
      <c r="B28" s="215"/>
      <c r="C28" s="215">
        <v>8</v>
      </c>
      <c r="D28" s="216" t="s">
        <v>1777</v>
      </c>
      <c r="E28" s="217">
        <v>94550000</v>
      </c>
      <c r="F28" s="217">
        <v>0</v>
      </c>
      <c r="G28" s="217">
        <v>-94550000</v>
      </c>
      <c r="H28" s="217">
        <v>0</v>
      </c>
      <c r="I28" s="217">
        <v>0</v>
      </c>
      <c r="J28" s="217">
        <v>0</v>
      </c>
      <c r="K28" s="217"/>
    </row>
    <row r="29" spans="1:11" s="204" customFormat="1" ht="12">
      <c r="A29" s="214"/>
      <c r="B29" s="215"/>
      <c r="C29" s="215">
        <v>9</v>
      </c>
      <c r="D29" s="216" t="s">
        <v>1778</v>
      </c>
      <c r="E29" s="217">
        <v>84450000</v>
      </c>
      <c r="F29" s="217">
        <v>0</v>
      </c>
      <c r="G29" s="217">
        <v>-84450000</v>
      </c>
      <c r="H29" s="217">
        <v>0</v>
      </c>
      <c r="I29" s="217">
        <v>0</v>
      </c>
      <c r="J29" s="217">
        <v>0</v>
      </c>
      <c r="K29" s="217"/>
    </row>
    <row r="30" spans="1:11" s="204" customFormat="1" ht="12">
      <c r="A30" s="214"/>
      <c r="B30" s="215"/>
      <c r="C30" s="215">
        <v>10</v>
      </c>
      <c r="D30" s="216" t="s">
        <v>1779</v>
      </c>
      <c r="E30" s="217">
        <v>97650000</v>
      </c>
      <c r="F30" s="217">
        <v>0</v>
      </c>
      <c r="G30" s="217">
        <v>-97650000</v>
      </c>
      <c r="H30" s="217">
        <v>0</v>
      </c>
      <c r="I30" s="217">
        <v>0</v>
      </c>
      <c r="J30" s="217">
        <v>0</v>
      </c>
      <c r="K30" s="217"/>
    </row>
    <row r="31" spans="1:11" s="204" customFormat="1" ht="12">
      <c r="A31" s="214"/>
      <c r="B31" s="215"/>
      <c r="C31" s="215">
        <v>11</v>
      </c>
      <c r="D31" s="216" t="s">
        <v>1780</v>
      </c>
      <c r="E31" s="217">
        <v>59500000</v>
      </c>
      <c r="F31" s="217">
        <v>0</v>
      </c>
      <c r="G31" s="217">
        <v>-59500000</v>
      </c>
      <c r="H31" s="217">
        <v>0</v>
      </c>
      <c r="I31" s="217">
        <v>0</v>
      </c>
      <c r="J31" s="217">
        <v>0</v>
      </c>
      <c r="K31" s="217"/>
    </row>
    <row r="32" spans="1:11" s="204" customFormat="1" ht="12">
      <c r="A32" s="214"/>
      <c r="B32" s="215"/>
      <c r="C32" s="215">
        <v>12</v>
      </c>
      <c r="D32" s="216" t="s">
        <v>1781</v>
      </c>
      <c r="E32" s="217">
        <v>89500000</v>
      </c>
      <c r="F32" s="217">
        <v>0</v>
      </c>
      <c r="G32" s="217">
        <v>0</v>
      </c>
      <c r="H32" s="217">
        <v>0</v>
      </c>
      <c r="I32" s="217">
        <v>-89500000</v>
      </c>
      <c r="J32" s="217">
        <v>0</v>
      </c>
      <c r="K32" s="217"/>
    </row>
    <row r="33" spans="1:11" s="204" customFormat="1" ht="12">
      <c r="A33" s="214"/>
      <c r="B33" s="215"/>
      <c r="C33" s="215">
        <v>13</v>
      </c>
      <c r="D33" s="216" t="s">
        <v>1782</v>
      </c>
      <c r="E33" s="217">
        <v>59400000</v>
      </c>
      <c r="F33" s="217">
        <v>0</v>
      </c>
      <c r="G33" s="217">
        <v>0</v>
      </c>
      <c r="H33" s="217">
        <v>0</v>
      </c>
      <c r="I33" s="217">
        <v>0</v>
      </c>
      <c r="J33" s="217">
        <v>59400000</v>
      </c>
      <c r="K33" s="217"/>
    </row>
    <row r="34" spans="1:11" s="204" customFormat="1" ht="12">
      <c r="A34" s="214"/>
      <c r="B34" s="215"/>
      <c r="C34" s="215">
        <v>14</v>
      </c>
      <c r="D34" s="216" t="s">
        <v>1783</v>
      </c>
      <c r="E34" s="217">
        <v>583130000</v>
      </c>
      <c r="F34" s="217">
        <v>0</v>
      </c>
      <c r="G34" s="217">
        <v>-583130000</v>
      </c>
      <c r="H34" s="217">
        <v>0</v>
      </c>
      <c r="I34" s="217">
        <v>0</v>
      </c>
      <c r="J34" s="217">
        <v>0</v>
      </c>
      <c r="K34" s="217"/>
    </row>
    <row r="35" spans="1:11" s="204" customFormat="1" ht="12">
      <c r="A35" s="214"/>
      <c r="B35" s="215"/>
      <c r="C35" s="215">
        <v>15</v>
      </c>
      <c r="D35" s="216" t="s">
        <v>1784</v>
      </c>
      <c r="E35" s="217">
        <v>48500000</v>
      </c>
      <c r="F35" s="217">
        <v>0</v>
      </c>
      <c r="G35" s="217">
        <v>0</v>
      </c>
      <c r="H35" s="217">
        <v>0</v>
      </c>
      <c r="I35" s="217">
        <v>0</v>
      </c>
      <c r="J35" s="217">
        <v>48500000</v>
      </c>
      <c r="K35" s="217"/>
    </row>
    <row r="36" spans="1:11" s="204" customFormat="1" ht="12">
      <c r="A36" s="214"/>
      <c r="B36" s="215"/>
      <c r="C36" s="215">
        <v>16</v>
      </c>
      <c r="D36" s="216" t="s">
        <v>1785</v>
      </c>
      <c r="E36" s="217">
        <v>48700000</v>
      </c>
      <c r="F36" s="217">
        <v>0</v>
      </c>
      <c r="G36" s="217">
        <v>-48700000</v>
      </c>
      <c r="H36" s="217">
        <v>0</v>
      </c>
      <c r="I36" s="217">
        <v>0</v>
      </c>
      <c r="J36" s="217">
        <v>0</v>
      </c>
      <c r="K36" s="217"/>
    </row>
    <row r="37" spans="1:11" s="204" customFormat="1" ht="12">
      <c r="A37" s="214"/>
      <c r="B37" s="215"/>
      <c r="C37" s="215">
        <v>17</v>
      </c>
      <c r="D37" s="216" t="s">
        <v>1786</v>
      </c>
      <c r="E37" s="217">
        <v>163831800</v>
      </c>
      <c r="F37" s="217">
        <v>0</v>
      </c>
      <c r="G37" s="217">
        <v>0</v>
      </c>
      <c r="H37" s="217">
        <v>0</v>
      </c>
      <c r="I37" s="217">
        <v>0</v>
      </c>
      <c r="J37" s="217">
        <v>163831800</v>
      </c>
      <c r="K37" s="217"/>
    </row>
    <row r="38" spans="1:11" s="204" customFormat="1" ht="24">
      <c r="A38" s="214"/>
      <c r="B38" s="215"/>
      <c r="C38" s="215">
        <v>18</v>
      </c>
      <c r="D38" s="216" t="s">
        <v>1787</v>
      </c>
      <c r="E38" s="217">
        <v>193008750</v>
      </c>
      <c r="F38" s="217">
        <v>0</v>
      </c>
      <c r="G38" s="217">
        <v>0</v>
      </c>
      <c r="H38" s="217">
        <v>0</v>
      </c>
      <c r="I38" s="217">
        <v>-193008750</v>
      </c>
      <c r="J38" s="217">
        <v>0</v>
      </c>
      <c r="K38" s="217"/>
    </row>
    <row r="39" spans="1:11" s="204" customFormat="1" ht="12">
      <c r="A39" s="214"/>
      <c r="B39" s="215"/>
      <c r="C39" s="215">
        <v>19</v>
      </c>
      <c r="D39" s="216" t="s">
        <v>1788</v>
      </c>
      <c r="E39" s="217">
        <v>621402000</v>
      </c>
      <c r="F39" s="217">
        <v>0</v>
      </c>
      <c r="G39" s="217">
        <v>-621402000</v>
      </c>
      <c r="H39" s="217">
        <v>0</v>
      </c>
      <c r="I39" s="217">
        <v>0</v>
      </c>
      <c r="J39" s="217">
        <v>0</v>
      </c>
      <c r="K39" s="217"/>
    </row>
    <row r="40" spans="1:11" s="204" customFormat="1" ht="12">
      <c r="A40" s="214"/>
      <c r="B40" s="215"/>
      <c r="C40" s="215">
        <v>20</v>
      </c>
      <c r="D40" s="216" t="s">
        <v>1789</v>
      </c>
      <c r="E40" s="217">
        <v>416515000</v>
      </c>
      <c r="F40" s="217">
        <v>0</v>
      </c>
      <c r="G40" s="217">
        <v>0</v>
      </c>
      <c r="H40" s="217">
        <v>0</v>
      </c>
      <c r="I40" s="217">
        <v>0</v>
      </c>
      <c r="J40" s="217">
        <v>416515000</v>
      </c>
      <c r="K40" s="217"/>
    </row>
    <row r="41" spans="1:11" s="204" customFormat="1" ht="12">
      <c r="A41" s="214"/>
      <c r="B41" s="215"/>
      <c r="C41" s="215">
        <v>21</v>
      </c>
      <c r="D41" s="216" t="s">
        <v>1790</v>
      </c>
      <c r="E41" s="217">
        <v>108394000</v>
      </c>
      <c r="F41" s="217">
        <v>0</v>
      </c>
      <c r="G41" s="217">
        <v>-108394000</v>
      </c>
      <c r="H41" s="217">
        <v>0</v>
      </c>
      <c r="I41" s="217">
        <v>0</v>
      </c>
      <c r="J41" s="217">
        <v>0</v>
      </c>
      <c r="K41" s="217"/>
    </row>
    <row r="42" spans="1:11" s="204" customFormat="1" ht="24">
      <c r="A42" s="214"/>
      <c r="B42" s="215"/>
      <c r="C42" s="215">
        <v>22</v>
      </c>
      <c r="D42" s="216" t="s">
        <v>1791</v>
      </c>
      <c r="E42" s="217">
        <v>296618000</v>
      </c>
      <c r="F42" s="217">
        <v>0</v>
      </c>
      <c r="G42" s="217">
        <v>0</v>
      </c>
      <c r="H42" s="217">
        <v>0</v>
      </c>
      <c r="I42" s="217">
        <v>0</v>
      </c>
      <c r="J42" s="217">
        <v>296618000</v>
      </c>
      <c r="K42" s="217"/>
    </row>
    <row r="43" spans="1:11" s="204" customFormat="1" ht="12">
      <c r="A43" s="214"/>
      <c r="B43" s="215"/>
      <c r="C43" s="215">
        <v>23</v>
      </c>
      <c r="D43" s="216" t="s">
        <v>1792</v>
      </c>
      <c r="E43" s="217">
        <v>6505514000</v>
      </c>
      <c r="F43" s="217">
        <v>0</v>
      </c>
      <c r="G43" s="217">
        <v>0</v>
      </c>
      <c r="H43" s="217">
        <v>0</v>
      </c>
      <c r="I43" s="217">
        <v>0</v>
      </c>
      <c r="J43" s="217">
        <v>6505514000</v>
      </c>
      <c r="K43" s="217"/>
    </row>
    <row r="44" spans="1:11" s="204" customFormat="1" ht="12">
      <c r="A44" s="214"/>
      <c r="B44" s="215"/>
      <c r="C44" s="215">
        <v>24</v>
      </c>
      <c r="D44" s="216" t="s">
        <v>1793</v>
      </c>
      <c r="E44" s="217">
        <v>1109625000</v>
      </c>
      <c r="F44" s="217">
        <v>0</v>
      </c>
      <c r="G44" s="217">
        <v>0</v>
      </c>
      <c r="H44" s="217">
        <v>0</v>
      </c>
      <c r="I44" s="217">
        <v>0</v>
      </c>
      <c r="J44" s="217">
        <v>1109625000</v>
      </c>
      <c r="K44" s="217"/>
    </row>
    <row r="45" spans="1:11" s="204" customFormat="1" ht="12">
      <c r="A45" s="214"/>
      <c r="B45" s="215"/>
      <c r="C45" s="215">
        <v>25</v>
      </c>
      <c r="D45" s="216" t="s">
        <v>1794</v>
      </c>
      <c r="E45" s="217">
        <v>490000000</v>
      </c>
      <c r="F45" s="217">
        <v>0</v>
      </c>
      <c r="G45" s="217">
        <v>0</v>
      </c>
      <c r="H45" s="217">
        <v>0</v>
      </c>
      <c r="I45" s="217">
        <v>-490000000</v>
      </c>
      <c r="J45" s="217">
        <v>0</v>
      </c>
      <c r="K45" s="217"/>
    </row>
    <row r="46" spans="1:11" s="204" customFormat="1" ht="12">
      <c r="A46" s="214"/>
      <c r="B46" s="215"/>
      <c r="C46" s="215">
        <v>26</v>
      </c>
      <c r="D46" s="216" t="s">
        <v>1795</v>
      </c>
      <c r="E46" s="217">
        <v>173900000</v>
      </c>
      <c r="F46" s="217">
        <v>0</v>
      </c>
      <c r="G46" s="217">
        <v>0</v>
      </c>
      <c r="H46" s="217">
        <v>0</v>
      </c>
      <c r="I46" s="217">
        <v>0</v>
      </c>
      <c r="J46" s="217">
        <v>173900000</v>
      </c>
      <c r="K46" s="217"/>
    </row>
    <row r="47" spans="1:11" s="204" customFormat="1" ht="12">
      <c r="A47" s="214"/>
      <c r="B47" s="215"/>
      <c r="C47" s="215">
        <v>27</v>
      </c>
      <c r="D47" s="216" t="s">
        <v>1796</v>
      </c>
      <c r="E47" s="217">
        <v>99000000</v>
      </c>
      <c r="F47" s="217">
        <v>0</v>
      </c>
      <c r="G47" s="217">
        <v>0</v>
      </c>
      <c r="H47" s="217">
        <v>0</v>
      </c>
      <c r="I47" s="217">
        <v>0</v>
      </c>
      <c r="J47" s="217">
        <v>99000000</v>
      </c>
      <c r="K47" s="217"/>
    </row>
    <row r="48" spans="1:11" s="204" customFormat="1" ht="12">
      <c r="A48" s="214"/>
      <c r="B48" s="215"/>
      <c r="C48" s="215">
        <v>28</v>
      </c>
      <c r="D48" s="216" t="s">
        <v>1797</v>
      </c>
      <c r="E48" s="217">
        <v>183300000</v>
      </c>
      <c r="F48" s="217">
        <v>0</v>
      </c>
      <c r="G48" s="217">
        <v>0</v>
      </c>
      <c r="H48" s="217">
        <v>0</v>
      </c>
      <c r="I48" s="217">
        <v>0</v>
      </c>
      <c r="J48" s="217">
        <v>183300000</v>
      </c>
      <c r="K48" s="217"/>
    </row>
    <row r="49" spans="1:11" s="204" customFormat="1" ht="12">
      <c r="A49" s="214"/>
      <c r="B49" s="215"/>
      <c r="C49" s="215">
        <v>29</v>
      </c>
      <c r="D49" s="216" t="s">
        <v>1798</v>
      </c>
      <c r="E49" s="217">
        <v>194797350</v>
      </c>
      <c r="F49" s="217">
        <v>0</v>
      </c>
      <c r="G49" s="217">
        <v>0</v>
      </c>
      <c r="H49" s="217">
        <v>0</v>
      </c>
      <c r="I49" s="217">
        <v>0</v>
      </c>
      <c r="J49" s="217">
        <v>194797350</v>
      </c>
      <c r="K49" s="217"/>
    </row>
    <row r="50" spans="1:11" s="204" customFormat="1" ht="12">
      <c r="A50" s="214"/>
      <c r="B50" s="215"/>
      <c r="C50" s="215">
        <v>30</v>
      </c>
      <c r="D50" s="216" t="s">
        <v>1799</v>
      </c>
      <c r="E50" s="217">
        <v>454527150</v>
      </c>
      <c r="F50" s="217">
        <v>0</v>
      </c>
      <c r="G50" s="217">
        <v>0</v>
      </c>
      <c r="H50" s="217">
        <v>0</v>
      </c>
      <c r="I50" s="217">
        <v>0</v>
      </c>
      <c r="J50" s="217">
        <v>454527150</v>
      </c>
      <c r="K50" s="217"/>
    </row>
    <row r="51" spans="1:11" s="204" customFormat="1" ht="12">
      <c r="A51" s="214"/>
      <c r="B51" s="215"/>
      <c r="C51" s="215">
        <v>31</v>
      </c>
      <c r="D51" s="216" t="s">
        <v>1800</v>
      </c>
      <c r="E51" s="217">
        <v>232276000</v>
      </c>
      <c r="F51" s="217">
        <v>0</v>
      </c>
      <c r="G51" s="217">
        <v>0</v>
      </c>
      <c r="H51" s="217">
        <v>0</v>
      </c>
      <c r="I51" s="217">
        <v>0</v>
      </c>
      <c r="J51" s="217">
        <v>232276000</v>
      </c>
      <c r="K51" s="217"/>
    </row>
    <row r="52" spans="1:11" s="204" customFormat="1" ht="12">
      <c r="A52" s="214"/>
      <c r="B52" s="215"/>
      <c r="C52" s="215">
        <v>32</v>
      </c>
      <c r="D52" s="216" t="s">
        <v>1801</v>
      </c>
      <c r="E52" s="217">
        <v>693187000</v>
      </c>
      <c r="F52" s="217">
        <v>0</v>
      </c>
      <c r="G52" s="217">
        <v>0</v>
      </c>
      <c r="H52" s="217">
        <v>0</v>
      </c>
      <c r="I52" s="217">
        <v>0</v>
      </c>
      <c r="J52" s="217">
        <v>693187000</v>
      </c>
      <c r="K52" s="217"/>
    </row>
    <row r="53" spans="1:11" s="204" customFormat="1" ht="12">
      <c r="A53" s="214"/>
      <c r="B53" s="215"/>
      <c r="C53" s="215">
        <v>33</v>
      </c>
      <c r="D53" s="216" t="s">
        <v>1802</v>
      </c>
      <c r="E53" s="217">
        <v>592487000</v>
      </c>
      <c r="F53" s="217">
        <v>0</v>
      </c>
      <c r="G53" s="217">
        <v>0</v>
      </c>
      <c r="H53" s="217">
        <v>0</v>
      </c>
      <c r="I53" s="217">
        <v>0</v>
      </c>
      <c r="J53" s="217">
        <v>592487000</v>
      </c>
      <c r="K53" s="217"/>
    </row>
    <row r="54" spans="1:11" s="204" customFormat="1" ht="12">
      <c r="A54" s="214"/>
      <c r="B54" s="215"/>
      <c r="C54" s="215">
        <v>34</v>
      </c>
      <c r="D54" s="216" t="s">
        <v>1803</v>
      </c>
      <c r="E54" s="217">
        <v>365365000</v>
      </c>
      <c r="F54" s="217">
        <v>0</v>
      </c>
      <c r="G54" s="217">
        <v>0</v>
      </c>
      <c r="H54" s="217">
        <v>0</v>
      </c>
      <c r="I54" s="217">
        <v>0</v>
      </c>
      <c r="J54" s="217">
        <v>365365000</v>
      </c>
      <c r="K54" s="217"/>
    </row>
    <row r="55" spans="1:11" s="204" customFormat="1" ht="12">
      <c r="A55" s="214"/>
      <c r="B55" s="215"/>
      <c r="C55" s="215">
        <v>36</v>
      </c>
      <c r="D55" s="216" t="s">
        <v>1804</v>
      </c>
      <c r="E55" s="217">
        <v>44000000</v>
      </c>
      <c r="F55" s="217">
        <v>0</v>
      </c>
      <c r="G55" s="217">
        <v>0</v>
      </c>
      <c r="H55" s="217">
        <v>0</v>
      </c>
      <c r="I55" s="217">
        <v>0</v>
      </c>
      <c r="J55" s="217">
        <v>44000000</v>
      </c>
      <c r="K55" s="217"/>
    </row>
    <row r="56" spans="1:11" s="204" customFormat="1" ht="12">
      <c r="A56" s="214"/>
      <c r="B56" s="215"/>
      <c r="C56" s="215">
        <v>37</v>
      </c>
      <c r="D56" s="216" t="s">
        <v>1805</v>
      </c>
      <c r="E56" s="217">
        <v>69500000</v>
      </c>
      <c r="F56" s="217">
        <v>0</v>
      </c>
      <c r="G56" s="217">
        <v>0</v>
      </c>
      <c r="H56" s="217">
        <v>0</v>
      </c>
      <c r="I56" s="217">
        <v>0</v>
      </c>
      <c r="J56" s="217">
        <v>69500000</v>
      </c>
      <c r="K56" s="217"/>
    </row>
    <row r="57" spans="1:11" s="204" customFormat="1" ht="12">
      <c r="A57" s="214"/>
      <c r="B57" s="215"/>
      <c r="C57" s="215">
        <v>38</v>
      </c>
      <c r="D57" s="216" t="s">
        <v>1806</v>
      </c>
      <c r="E57" s="217">
        <v>48500000</v>
      </c>
      <c r="F57" s="217">
        <v>0</v>
      </c>
      <c r="G57" s="217">
        <v>0</v>
      </c>
      <c r="H57" s="217">
        <v>0</v>
      </c>
      <c r="I57" s="217">
        <v>-48500000</v>
      </c>
      <c r="J57" s="217">
        <v>0</v>
      </c>
      <c r="K57" s="217"/>
    </row>
    <row r="58" spans="1:11" s="204" customFormat="1" ht="12">
      <c r="A58" s="214"/>
      <c r="B58" s="215"/>
      <c r="C58" s="215">
        <v>39</v>
      </c>
      <c r="D58" s="216" t="s">
        <v>1807</v>
      </c>
      <c r="E58" s="217">
        <v>48600000</v>
      </c>
      <c r="F58" s="217">
        <v>0</v>
      </c>
      <c r="G58" s="217">
        <v>0</v>
      </c>
      <c r="H58" s="217">
        <v>0</v>
      </c>
      <c r="I58" s="217">
        <v>-48600000</v>
      </c>
      <c r="J58" s="217">
        <v>0</v>
      </c>
      <c r="K58" s="217"/>
    </row>
    <row r="59" spans="1:11" s="204" customFormat="1" ht="12">
      <c r="A59" s="214"/>
      <c r="B59" s="215"/>
      <c r="C59" s="215">
        <v>41</v>
      </c>
      <c r="D59" s="216" t="s">
        <v>1808</v>
      </c>
      <c r="E59" s="217">
        <v>130780000</v>
      </c>
      <c r="F59" s="217">
        <v>0</v>
      </c>
      <c r="G59" s="217">
        <v>0</v>
      </c>
      <c r="H59" s="217">
        <v>0</v>
      </c>
      <c r="I59" s="217">
        <v>0</v>
      </c>
      <c r="J59" s="217">
        <v>130780000</v>
      </c>
      <c r="K59" s="217"/>
    </row>
    <row r="60" spans="1:11" s="204" customFormat="1" ht="48">
      <c r="A60" s="214"/>
      <c r="B60" s="215"/>
      <c r="C60" s="215">
        <v>42</v>
      </c>
      <c r="D60" s="216" t="s">
        <v>1809</v>
      </c>
      <c r="E60" s="217">
        <v>334895000</v>
      </c>
      <c r="F60" s="217">
        <v>0</v>
      </c>
      <c r="G60" s="217">
        <v>0</v>
      </c>
      <c r="H60" s="217">
        <v>0</v>
      </c>
      <c r="I60" s="217">
        <v>0</v>
      </c>
      <c r="J60" s="217">
        <v>334895000</v>
      </c>
      <c r="K60" s="217"/>
    </row>
    <row r="61" spans="1:11" s="204" customFormat="1" ht="12">
      <c r="A61" s="214"/>
      <c r="B61" s="215"/>
      <c r="C61" s="215">
        <v>44</v>
      </c>
      <c r="D61" s="216" t="s">
        <v>1810</v>
      </c>
      <c r="E61" s="217">
        <v>522500000</v>
      </c>
      <c r="F61" s="217">
        <v>0</v>
      </c>
      <c r="G61" s="217">
        <v>0</v>
      </c>
      <c r="H61" s="217">
        <v>0</v>
      </c>
      <c r="I61" s="217">
        <v>0</v>
      </c>
      <c r="J61" s="217">
        <v>522500000</v>
      </c>
      <c r="K61" s="217"/>
    </row>
    <row r="62" spans="1:11" s="204" customFormat="1" ht="12">
      <c r="A62" s="214"/>
      <c r="B62" s="215"/>
      <c r="C62" s="215">
        <v>45</v>
      </c>
      <c r="D62" s="216" t="s">
        <v>1811</v>
      </c>
      <c r="E62" s="217">
        <v>558826000</v>
      </c>
      <c r="F62" s="217">
        <v>0</v>
      </c>
      <c r="G62" s="217">
        <v>0</v>
      </c>
      <c r="H62" s="217">
        <v>0</v>
      </c>
      <c r="I62" s="217">
        <v>0</v>
      </c>
      <c r="J62" s="217">
        <v>558826000</v>
      </c>
      <c r="K62" s="217"/>
    </row>
    <row r="63" spans="1:11" s="204" customFormat="1" ht="60">
      <c r="A63" s="214"/>
      <c r="B63" s="215"/>
      <c r="C63" s="215">
        <v>46</v>
      </c>
      <c r="D63" s="216" t="s">
        <v>1812</v>
      </c>
      <c r="E63" s="217">
        <v>678300000</v>
      </c>
      <c r="F63" s="217">
        <v>0</v>
      </c>
      <c r="G63" s="217">
        <v>0</v>
      </c>
      <c r="H63" s="217">
        <v>0</v>
      </c>
      <c r="I63" s="217">
        <v>0</v>
      </c>
      <c r="J63" s="217">
        <v>678300000</v>
      </c>
      <c r="K63" s="217"/>
    </row>
    <row r="64" spans="1:11" s="204" customFormat="1" ht="48.75" thickBot="1">
      <c r="A64" s="214"/>
      <c r="B64" s="1935"/>
      <c r="C64" s="1935">
        <v>47</v>
      </c>
      <c r="D64" s="1936" t="s">
        <v>1813</v>
      </c>
      <c r="E64" s="1937">
        <v>485991000</v>
      </c>
      <c r="F64" s="1937">
        <v>0</v>
      </c>
      <c r="G64" s="1937">
        <v>0</v>
      </c>
      <c r="H64" s="1937">
        <v>0</v>
      </c>
      <c r="I64" s="1937">
        <v>0</v>
      </c>
      <c r="J64" s="1937">
        <v>485991000</v>
      </c>
      <c r="K64" s="1937"/>
    </row>
    <row r="65" spans="1:11" s="204" customFormat="1" ht="24">
      <c r="A65" s="214"/>
      <c r="B65" s="215"/>
      <c r="C65" s="215">
        <v>48</v>
      </c>
      <c r="D65" s="216" t="s">
        <v>1814</v>
      </c>
      <c r="E65" s="217">
        <v>679200000</v>
      </c>
      <c r="F65" s="217">
        <v>0</v>
      </c>
      <c r="G65" s="217">
        <v>0</v>
      </c>
      <c r="H65" s="217">
        <v>0</v>
      </c>
      <c r="I65" s="217">
        <v>0</v>
      </c>
      <c r="J65" s="217">
        <v>679200000</v>
      </c>
      <c r="K65" s="217"/>
    </row>
    <row r="66" spans="1:11" s="204" customFormat="1" ht="24">
      <c r="A66" s="214"/>
      <c r="B66" s="215"/>
      <c r="C66" s="215">
        <v>49</v>
      </c>
      <c r="D66" s="216" t="s">
        <v>1815</v>
      </c>
      <c r="E66" s="217">
        <v>341700000</v>
      </c>
      <c r="F66" s="217">
        <v>0</v>
      </c>
      <c r="G66" s="217">
        <v>0</v>
      </c>
      <c r="H66" s="217">
        <v>0</v>
      </c>
      <c r="I66" s="217">
        <v>0</v>
      </c>
      <c r="J66" s="217">
        <v>341700000</v>
      </c>
      <c r="K66" s="217"/>
    </row>
    <row r="67" spans="1:11" s="204" customFormat="1" ht="24">
      <c r="A67" s="214"/>
      <c r="B67" s="215"/>
      <c r="C67" s="223">
        <v>50</v>
      </c>
      <c r="D67" s="224" t="s">
        <v>1816</v>
      </c>
      <c r="E67" s="217">
        <v>339400000</v>
      </c>
      <c r="F67" s="217">
        <v>0</v>
      </c>
      <c r="G67" s="217">
        <v>0</v>
      </c>
      <c r="H67" s="217">
        <v>0</v>
      </c>
      <c r="I67" s="217">
        <v>0</v>
      </c>
      <c r="J67" s="217">
        <v>339400000</v>
      </c>
      <c r="K67" s="217"/>
    </row>
    <row r="68" spans="1:11" s="204" customFormat="1" ht="12">
      <c r="A68" s="214"/>
      <c r="B68" s="215"/>
      <c r="C68" s="223">
        <v>51</v>
      </c>
      <c r="D68" s="224" t="s">
        <v>1817</v>
      </c>
      <c r="E68" s="217">
        <v>481600000</v>
      </c>
      <c r="F68" s="217">
        <v>0</v>
      </c>
      <c r="G68" s="217">
        <v>0</v>
      </c>
      <c r="H68" s="217">
        <v>0</v>
      </c>
      <c r="I68" s="217">
        <v>0</v>
      </c>
      <c r="J68" s="217">
        <v>481600000</v>
      </c>
      <c r="K68" s="217"/>
    </row>
    <row r="69" spans="1:11" s="204" customFormat="1" ht="24">
      <c r="A69" s="214"/>
      <c r="B69" s="215"/>
      <c r="C69" s="215">
        <v>52</v>
      </c>
      <c r="D69" s="216" t="s">
        <v>1818</v>
      </c>
      <c r="E69" s="217">
        <v>676370000</v>
      </c>
      <c r="F69" s="217">
        <v>0</v>
      </c>
      <c r="G69" s="217">
        <v>0</v>
      </c>
      <c r="H69" s="217">
        <v>0</v>
      </c>
      <c r="I69" s="217">
        <v>0</v>
      </c>
      <c r="J69" s="217">
        <v>676370000</v>
      </c>
      <c r="K69" s="217"/>
    </row>
    <row r="70" spans="1:11" s="204" customFormat="1" ht="24">
      <c r="A70" s="214"/>
      <c r="B70" s="215"/>
      <c r="C70" s="215">
        <v>53</v>
      </c>
      <c r="D70" s="216" t="s">
        <v>1819</v>
      </c>
      <c r="E70" s="217">
        <v>637000000</v>
      </c>
      <c r="F70" s="217">
        <v>0</v>
      </c>
      <c r="G70" s="217">
        <v>0</v>
      </c>
      <c r="H70" s="217">
        <v>0</v>
      </c>
      <c r="I70" s="217">
        <v>0</v>
      </c>
      <c r="J70" s="217">
        <v>637000000</v>
      </c>
      <c r="K70" s="217"/>
    </row>
    <row r="71" spans="1:11" s="204" customFormat="1" ht="24">
      <c r="A71" s="214"/>
      <c r="B71" s="215"/>
      <c r="C71" s="215">
        <v>54</v>
      </c>
      <c r="D71" s="216" t="s">
        <v>1820</v>
      </c>
      <c r="E71" s="217">
        <v>767214000</v>
      </c>
      <c r="F71" s="217">
        <v>0</v>
      </c>
      <c r="G71" s="217">
        <v>0</v>
      </c>
      <c r="H71" s="217">
        <v>0</v>
      </c>
      <c r="I71" s="217">
        <v>0</v>
      </c>
      <c r="J71" s="217">
        <v>767214000</v>
      </c>
      <c r="K71" s="217"/>
    </row>
    <row r="72" spans="1:11" s="203" customFormat="1" ht="12">
      <c r="A72" s="211"/>
      <c r="B72" s="215"/>
      <c r="C72" s="215"/>
      <c r="D72" s="216"/>
      <c r="E72" s="217"/>
      <c r="F72" s="217"/>
      <c r="G72" s="217"/>
      <c r="H72" s="217"/>
      <c r="I72" s="217"/>
      <c r="J72" s="217"/>
      <c r="K72" s="217"/>
    </row>
    <row r="73" spans="1:11" s="204" customFormat="1" ht="12">
      <c r="A73" s="214"/>
      <c r="B73" s="218">
        <v>6</v>
      </c>
      <c r="C73" s="2130" t="s">
        <v>162</v>
      </c>
      <c r="D73" s="2131"/>
      <c r="E73" s="213"/>
      <c r="F73" s="213"/>
      <c r="G73" s="213"/>
      <c r="H73" s="213"/>
      <c r="I73" s="213"/>
      <c r="J73" s="213"/>
      <c r="K73" s="213">
        <v>502763762.88</v>
      </c>
    </row>
    <row r="74" spans="1:11" s="204" customFormat="1" ht="12">
      <c r="A74" s="214"/>
      <c r="B74" s="215"/>
      <c r="C74" s="215">
        <v>1</v>
      </c>
      <c r="D74" s="216" t="s">
        <v>1821</v>
      </c>
      <c r="E74" s="217">
        <v>12289783477.77</v>
      </c>
      <c r="F74" s="217"/>
      <c r="G74" s="217">
        <v>0</v>
      </c>
      <c r="H74" s="217">
        <v>0</v>
      </c>
      <c r="I74" s="217">
        <v>-12289783477.77</v>
      </c>
      <c r="J74" s="217">
        <v>0</v>
      </c>
      <c r="K74" s="217"/>
    </row>
    <row r="75" spans="1:11" s="204" customFormat="1" ht="12">
      <c r="A75" s="214"/>
      <c r="B75" s="215"/>
      <c r="C75" s="215">
        <v>2</v>
      </c>
      <c r="D75" s="216" t="s">
        <v>1822</v>
      </c>
      <c r="E75" s="217"/>
      <c r="F75" s="217">
        <v>502763762.88</v>
      </c>
      <c r="G75" s="217">
        <v>0</v>
      </c>
      <c r="H75" s="217">
        <v>0</v>
      </c>
      <c r="I75" s="217">
        <v>0</v>
      </c>
      <c r="J75" s="217">
        <v>502763762.88</v>
      </c>
      <c r="K75" s="217"/>
    </row>
    <row r="76" spans="1:11" s="203" customFormat="1" ht="12">
      <c r="A76" s="211"/>
      <c r="B76" s="215"/>
      <c r="C76" s="215"/>
      <c r="D76" s="216"/>
      <c r="E76" s="217"/>
      <c r="F76" s="217"/>
      <c r="G76" s="217"/>
      <c r="H76" s="217"/>
      <c r="I76" s="217"/>
      <c r="J76" s="217"/>
      <c r="K76" s="217"/>
    </row>
    <row r="77" spans="1:11" s="204" customFormat="1" ht="12">
      <c r="A77" s="214"/>
      <c r="B77" s="218">
        <v>7</v>
      </c>
      <c r="C77" s="2130" t="s">
        <v>1373</v>
      </c>
      <c r="D77" s="2131"/>
      <c r="E77" s="213"/>
      <c r="F77" s="213"/>
      <c r="G77" s="213"/>
      <c r="H77" s="213"/>
      <c r="I77" s="213"/>
      <c r="J77" s="213"/>
      <c r="K77" s="213">
        <v>381139000</v>
      </c>
    </row>
    <row r="78" spans="1:11" s="204" customFormat="1" ht="12">
      <c r="A78" s="214"/>
      <c r="B78" s="215"/>
      <c r="C78" s="215">
        <v>1</v>
      </c>
      <c r="D78" s="216" t="s">
        <v>1823</v>
      </c>
      <c r="E78" s="217">
        <v>381139000</v>
      </c>
      <c r="F78" s="217">
        <v>0</v>
      </c>
      <c r="G78" s="217">
        <v>0</v>
      </c>
      <c r="H78" s="217">
        <v>0</v>
      </c>
      <c r="I78" s="217">
        <v>0</v>
      </c>
      <c r="J78" s="217">
        <v>381139000</v>
      </c>
      <c r="K78" s="217"/>
    </row>
    <row r="79" spans="1:11" s="203" customFormat="1" ht="12">
      <c r="A79" s="211"/>
      <c r="B79" s="215"/>
      <c r="C79" s="215"/>
      <c r="D79" s="216"/>
      <c r="E79" s="217"/>
      <c r="F79" s="217"/>
      <c r="G79" s="217"/>
      <c r="H79" s="217"/>
      <c r="I79" s="217"/>
      <c r="J79" s="217"/>
      <c r="K79" s="217"/>
    </row>
    <row r="80" spans="1:11" s="204" customFormat="1" ht="12">
      <c r="A80" s="214"/>
      <c r="B80" s="218">
        <v>8</v>
      </c>
      <c r="C80" s="2130" t="s">
        <v>1824</v>
      </c>
      <c r="D80" s="2131"/>
      <c r="E80" s="213"/>
      <c r="F80" s="213"/>
      <c r="G80" s="213"/>
      <c r="H80" s="213"/>
      <c r="I80" s="213"/>
      <c r="J80" s="213"/>
      <c r="K80" s="213">
        <v>713650000</v>
      </c>
    </row>
    <row r="81" spans="1:11" s="204" customFormat="1" ht="12">
      <c r="A81" s="214"/>
      <c r="B81" s="215"/>
      <c r="C81" s="215">
        <v>1</v>
      </c>
      <c r="D81" s="216" t="s">
        <v>1825</v>
      </c>
      <c r="E81" s="217">
        <v>122881000</v>
      </c>
      <c r="F81" s="217">
        <v>0</v>
      </c>
      <c r="G81" s="217">
        <v>0</v>
      </c>
      <c r="H81" s="217">
        <v>0</v>
      </c>
      <c r="I81" s="217">
        <v>0</v>
      </c>
      <c r="J81" s="217">
        <v>122881000</v>
      </c>
      <c r="K81" s="217"/>
    </row>
    <row r="82" spans="1:11" s="204" customFormat="1" ht="12">
      <c r="A82" s="214"/>
      <c r="B82" s="215"/>
      <c r="C82" s="215">
        <v>2</v>
      </c>
      <c r="D82" s="216" t="s">
        <v>1826</v>
      </c>
      <c r="E82" s="217">
        <v>296681300</v>
      </c>
      <c r="F82" s="217">
        <v>0</v>
      </c>
      <c r="G82" s="217">
        <v>0</v>
      </c>
      <c r="H82" s="217">
        <v>0</v>
      </c>
      <c r="I82" s="217">
        <v>0</v>
      </c>
      <c r="J82" s="217">
        <v>296681300</v>
      </c>
      <c r="K82" s="217"/>
    </row>
    <row r="83" spans="1:11" s="204" customFormat="1" ht="12">
      <c r="A83" s="214"/>
      <c r="B83" s="215"/>
      <c r="C83" s="215">
        <v>3</v>
      </c>
      <c r="D83" s="216" t="s">
        <v>1823</v>
      </c>
      <c r="E83" s="217">
        <v>119087700</v>
      </c>
      <c r="F83" s="217">
        <v>0</v>
      </c>
      <c r="G83" s="217">
        <v>0</v>
      </c>
      <c r="H83" s="217">
        <v>0</v>
      </c>
      <c r="I83" s="217">
        <v>0</v>
      </c>
      <c r="J83" s="217">
        <v>119087700</v>
      </c>
      <c r="K83" s="217"/>
    </row>
    <row r="84" spans="1:11" s="204" customFormat="1" thickBot="1">
      <c r="A84" s="214"/>
      <c r="B84" s="1935"/>
      <c r="C84" s="1935">
        <v>4</v>
      </c>
      <c r="D84" s="1936" t="s">
        <v>1827</v>
      </c>
      <c r="E84" s="1937">
        <v>175000000</v>
      </c>
      <c r="F84" s="1937">
        <v>0</v>
      </c>
      <c r="G84" s="1937">
        <v>0</v>
      </c>
      <c r="H84" s="1937">
        <v>0</v>
      </c>
      <c r="I84" s="1937">
        <v>0</v>
      </c>
      <c r="J84" s="1937">
        <v>175000000</v>
      </c>
      <c r="K84" s="1937"/>
    </row>
    <row r="85" spans="1:11" s="203" customFormat="1" ht="12">
      <c r="A85" s="211"/>
      <c r="B85" s="215"/>
      <c r="C85" s="215"/>
      <c r="D85" s="216"/>
      <c r="E85" s="217"/>
      <c r="F85" s="217"/>
      <c r="G85" s="217"/>
      <c r="H85" s="217"/>
      <c r="I85" s="217"/>
      <c r="J85" s="217"/>
      <c r="K85" s="217"/>
    </row>
    <row r="86" spans="1:11" s="204" customFormat="1" ht="12">
      <c r="A86" s="214"/>
      <c r="B86" s="218">
        <v>9</v>
      </c>
      <c r="C86" s="2130" t="s">
        <v>1828</v>
      </c>
      <c r="D86" s="2131"/>
      <c r="E86" s="213"/>
      <c r="F86" s="213"/>
      <c r="G86" s="213"/>
      <c r="H86" s="213"/>
      <c r="I86" s="213"/>
      <c r="J86" s="213"/>
      <c r="K86" s="213">
        <v>699154500</v>
      </c>
    </row>
    <row r="87" spans="1:11" s="204" customFormat="1" ht="12">
      <c r="A87" s="214"/>
      <c r="B87" s="215"/>
      <c r="C87" s="215">
        <v>1</v>
      </c>
      <c r="D87" s="216" t="s">
        <v>1829</v>
      </c>
      <c r="E87" s="217">
        <v>610109500</v>
      </c>
      <c r="F87" s="217">
        <v>0</v>
      </c>
      <c r="G87" s="217">
        <v>0</v>
      </c>
      <c r="H87" s="217">
        <v>0</v>
      </c>
      <c r="I87" s="217">
        <v>0</v>
      </c>
      <c r="J87" s="217">
        <v>610109500</v>
      </c>
      <c r="K87" s="217"/>
    </row>
    <row r="88" spans="1:11" s="204" customFormat="1" ht="12">
      <c r="A88" s="214"/>
      <c r="B88" s="215"/>
      <c r="C88" s="215">
        <v>2</v>
      </c>
      <c r="D88" s="216" t="s">
        <v>1830</v>
      </c>
      <c r="E88" s="217"/>
      <c r="F88" s="217">
        <v>89045000</v>
      </c>
      <c r="G88" s="217"/>
      <c r="H88" s="217"/>
      <c r="I88" s="217"/>
      <c r="J88" s="217">
        <v>89045000</v>
      </c>
      <c r="K88" s="217"/>
    </row>
    <row r="89" spans="1:11" s="203" customFormat="1" ht="12">
      <c r="A89" s="211"/>
      <c r="B89" s="215"/>
      <c r="C89" s="215"/>
      <c r="D89" s="216"/>
      <c r="E89" s="217"/>
      <c r="F89" s="217"/>
      <c r="G89" s="217"/>
      <c r="H89" s="217"/>
      <c r="I89" s="217"/>
      <c r="J89" s="217"/>
      <c r="K89" s="217"/>
    </row>
    <row r="90" spans="1:11" s="204" customFormat="1" ht="12">
      <c r="A90" s="214"/>
      <c r="B90" s="218">
        <v>10</v>
      </c>
      <c r="C90" s="2130" t="s">
        <v>1831</v>
      </c>
      <c r="D90" s="2131"/>
      <c r="E90" s="213"/>
      <c r="F90" s="213"/>
      <c r="G90" s="213"/>
      <c r="H90" s="213"/>
      <c r="I90" s="213"/>
      <c r="J90" s="213"/>
      <c r="K90" s="213">
        <v>2544323000</v>
      </c>
    </row>
    <row r="91" spans="1:11" s="204" customFormat="1" ht="12">
      <c r="A91" s="214"/>
      <c r="B91" s="215"/>
      <c r="C91" s="215">
        <v>1</v>
      </c>
      <c r="D91" s="216" t="s">
        <v>1832</v>
      </c>
      <c r="E91" s="217">
        <v>46530000</v>
      </c>
      <c r="F91" s="217">
        <v>0</v>
      </c>
      <c r="G91" s="217">
        <v>0</v>
      </c>
      <c r="H91" s="217">
        <v>0</v>
      </c>
      <c r="I91" s="217">
        <v>0</v>
      </c>
      <c r="J91" s="217">
        <v>46530000</v>
      </c>
      <c r="K91" s="217"/>
    </row>
    <row r="92" spans="1:11" s="204" customFormat="1" ht="12">
      <c r="A92" s="214"/>
      <c r="B92" s="215"/>
      <c r="C92" s="215">
        <v>2</v>
      </c>
      <c r="D92" s="216" t="s">
        <v>1833</v>
      </c>
      <c r="E92" s="217">
        <v>29290000</v>
      </c>
      <c r="F92" s="217">
        <v>0</v>
      </c>
      <c r="G92" s="217">
        <v>0</v>
      </c>
      <c r="H92" s="217">
        <v>0</v>
      </c>
      <c r="I92" s="217">
        <v>0</v>
      </c>
      <c r="J92" s="217">
        <v>29290000</v>
      </c>
      <c r="K92" s="217"/>
    </row>
    <row r="93" spans="1:11" s="204" customFormat="1" ht="12">
      <c r="A93" s="214"/>
      <c r="B93" s="215"/>
      <c r="C93" s="215">
        <v>3</v>
      </c>
      <c r="D93" s="216" t="s">
        <v>1834</v>
      </c>
      <c r="E93" s="217">
        <v>39700000</v>
      </c>
      <c r="F93" s="217">
        <v>0</v>
      </c>
      <c r="G93" s="217">
        <v>0</v>
      </c>
      <c r="H93" s="217">
        <v>0</v>
      </c>
      <c r="I93" s="217">
        <v>0</v>
      </c>
      <c r="J93" s="217">
        <v>39700000</v>
      </c>
      <c r="K93" s="217"/>
    </row>
    <row r="94" spans="1:11" s="204" customFormat="1" ht="12">
      <c r="A94" s="214"/>
      <c r="B94" s="215"/>
      <c r="C94" s="215">
        <v>4</v>
      </c>
      <c r="D94" s="216" t="s">
        <v>1835</v>
      </c>
      <c r="E94" s="217">
        <v>2380103000</v>
      </c>
      <c r="F94" s="217">
        <v>0</v>
      </c>
      <c r="G94" s="217">
        <v>0</v>
      </c>
      <c r="H94" s="217">
        <v>0</v>
      </c>
      <c r="I94" s="217">
        <v>0</v>
      </c>
      <c r="J94" s="217">
        <v>2380103000</v>
      </c>
      <c r="K94" s="217"/>
    </row>
    <row r="95" spans="1:11" s="204" customFormat="1" ht="12">
      <c r="A95" s="214"/>
      <c r="B95" s="215"/>
      <c r="C95" s="215">
        <v>5</v>
      </c>
      <c r="D95" s="216" t="s">
        <v>1836</v>
      </c>
      <c r="E95" s="217">
        <v>29100000</v>
      </c>
      <c r="F95" s="217">
        <v>0</v>
      </c>
      <c r="G95" s="217">
        <v>0</v>
      </c>
      <c r="H95" s="217">
        <v>0</v>
      </c>
      <c r="I95" s="217">
        <v>0</v>
      </c>
      <c r="J95" s="217">
        <v>29100000</v>
      </c>
      <c r="K95" s="217"/>
    </row>
    <row r="96" spans="1:11" s="204" customFormat="1" ht="12">
      <c r="A96" s="214"/>
      <c r="B96" s="215"/>
      <c r="C96" s="215">
        <v>6</v>
      </c>
      <c r="D96" s="216" t="s">
        <v>1837</v>
      </c>
      <c r="E96" s="217">
        <v>19600000</v>
      </c>
      <c r="F96" s="217">
        <v>0</v>
      </c>
      <c r="G96" s="217">
        <v>0</v>
      </c>
      <c r="H96" s="217">
        <v>0</v>
      </c>
      <c r="I96" s="217">
        <v>0</v>
      </c>
      <c r="J96" s="217">
        <v>19600000</v>
      </c>
      <c r="K96" s="217"/>
    </row>
    <row r="97" spans="1:11" s="203" customFormat="1" ht="12">
      <c r="A97" s="211"/>
      <c r="B97" s="215"/>
      <c r="C97" s="215"/>
      <c r="D97" s="216"/>
      <c r="E97" s="217"/>
      <c r="F97" s="217"/>
      <c r="G97" s="217"/>
      <c r="H97" s="217"/>
      <c r="I97" s="217"/>
      <c r="J97" s="217"/>
      <c r="K97" s="217"/>
    </row>
    <row r="98" spans="1:11" s="204" customFormat="1" ht="12">
      <c r="A98" s="214"/>
      <c r="B98" s="218">
        <v>11</v>
      </c>
      <c r="C98" s="2130" t="s">
        <v>176</v>
      </c>
      <c r="D98" s="2131"/>
      <c r="E98" s="213"/>
      <c r="F98" s="213"/>
      <c r="G98" s="213"/>
      <c r="H98" s="213"/>
      <c r="I98" s="213"/>
      <c r="J98" s="213"/>
      <c r="K98" s="213">
        <v>157995000</v>
      </c>
    </row>
    <row r="99" spans="1:11" s="204" customFormat="1" ht="12">
      <c r="A99" s="214"/>
      <c r="B99" s="215"/>
      <c r="C99" s="215">
        <v>1</v>
      </c>
      <c r="D99" s="216" t="s">
        <v>1838</v>
      </c>
      <c r="E99" s="217">
        <v>68840000</v>
      </c>
      <c r="F99" s="217">
        <v>0</v>
      </c>
      <c r="G99" s="217">
        <v>0</v>
      </c>
      <c r="H99" s="217">
        <v>0</v>
      </c>
      <c r="I99" s="217">
        <v>0</v>
      </c>
      <c r="J99" s="217">
        <v>68840000</v>
      </c>
      <c r="K99" s="217"/>
    </row>
    <row r="100" spans="1:11" s="204" customFormat="1" ht="12">
      <c r="A100" s="214"/>
      <c r="B100" s="215"/>
      <c r="C100" s="215">
        <v>2</v>
      </c>
      <c r="D100" s="216" t="s">
        <v>1839</v>
      </c>
      <c r="E100" s="217"/>
      <c r="F100" s="217">
        <v>89155000</v>
      </c>
      <c r="G100" s="217"/>
      <c r="H100" s="217"/>
      <c r="I100" s="217"/>
      <c r="J100" s="217">
        <v>89155000</v>
      </c>
      <c r="K100" s="217"/>
    </row>
    <row r="101" spans="1:11" s="203" customFormat="1" ht="12">
      <c r="A101" s="211"/>
      <c r="B101" s="215"/>
      <c r="C101" s="215"/>
      <c r="D101" s="216"/>
      <c r="E101" s="217"/>
      <c r="F101" s="217"/>
      <c r="G101" s="217"/>
      <c r="H101" s="217"/>
      <c r="I101" s="217"/>
      <c r="J101" s="217"/>
      <c r="K101" s="217"/>
    </row>
    <row r="102" spans="1:11" s="204" customFormat="1" ht="12">
      <c r="A102" s="214"/>
      <c r="B102" s="218">
        <v>12</v>
      </c>
      <c r="C102" s="2130" t="s">
        <v>177</v>
      </c>
      <c r="D102" s="2131"/>
      <c r="E102" s="213"/>
      <c r="F102" s="213"/>
      <c r="G102" s="213"/>
      <c r="H102" s="213"/>
      <c r="I102" s="213"/>
      <c r="J102" s="213"/>
      <c r="K102" s="213">
        <v>881921365</v>
      </c>
    </row>
    <row r="103" spans="1:11" s="204" customFormat="1" ht="12">
      <c r="A103" s="214"/>
      <c r="B103" s="215"/>
      <c r="C103" s="215">
        <v>1</v>
      </c>
      <c r="D103" s="216" t="s">
        <v>1823</v>
      </c>
      <c r="E103" s="217">
        <v>717938865</v>
      </c>
      <c r="F103" s="217">
        <v>0</v>
      </c>
      <c r="G103" s="217">
        <v>0</v>
      </c>
      <c r="H103" s="217">
        <v>0</v>
      </c>
      <c r="I103" s="217">
        <v>0</v>
      </c>
      <c r="J103" s="217">
        <v>717938865</v>
      </c>
      <c r="K103" s="217"/>
    </row>
    <row r="104" spans="1:11" s="204" customFormat="1" ht="12">
      <c r="A104" s="214"/>
      <c r="B104" s="215"/>
      <c r="C104" s="215">
        <v>2</v>
      </c>
      <c r="D104" s="216" t="s">
        <v>1840</v>
      </c>
      <c r="E104" s="217">
        <v>96580000</v>
      </c>
      <c r="F104" s="217">
        <v>0</v>
      </c>
      <c r="G104" s="217">
        <v>0</v>
      </c>
      <c r="H104" s="217">
        <v>0</v>
      </c>
      <c r="I104" s="217">
        <v>0</v>
      </c>
      <c r="J104" s="217">
        <v>96580000</v>
      </c>
      <c r="K104" s="217"/>
    </row>
    <row r="105" spans="1:11" s="204" customFormat="1" ht="12">
      <c r="A105" s="214"/>
      <c r="B105" s="215"/>
      <c r="C105" s="215">
        <v>3</v>
      </c>
      <c r="D105" s="216" t="s">
        <v>1841</v>
      </c>
      <c r="E105" s="217">
        <v>67402500</v>
      </c>
      <c r="F105" s="217">
        <v>0</v>
      </c>
      <c r="G105" s="217">
        <v>0</v>
      </c>
      <c r="H105" s="217">
        <v>0</v>
      </c>
      <c r="I105" s="217">
        <v>0</v>
      </c>
      <c r="J105" s="217">
        <v>67402500</v>
      </c>
      <c r="K105" s="217"/>
    </row>
    <row r="106" spans="1:11" s="203" customFormat="1" ht="12">
      <c r="A106" s="211"/>
      <c r="B106" s="215"/>
      <c r="C106" s="215"/>
      <c r="D106" s="216"/>
      <c r="E106" s="217"/>
      <c r="F106" s="217"/>
      <c r="G106" s="217"/>
      <c r="H106" s="217"/>
      <c r="I106" s="217"/>
      <c r="J106" s="217"/>
      <c r="K106" s="217"/>
    </row>
    <row r="107" spans="1:11" s="204" customFormat="1" ht="12">
      <c r="A107" s="214"/>
      <c r="B107" s="218">
        <v>13</v>
      </c>
      <c r="C107" s="2130" t="s">
        <v>179</v>
      </c>
      <c r="D107" s="2131"/>
      <c r="E107" s="213"/>
      <c r="F107" s="213"/>
      <c r="G107" s="213"/>
      <c r="H107" s="213"/>
      <c r="I107" s="213"/>
      <c r="J107" s="213"/>
      <c r="K107" s="213">
        <v>33374000</v>
      </c>
    </row>
    <row r="108" spans="1:11" s="204" customFormat="1" ht="24">
      <c r="A108" s="214"/>
      <c r="B108" s="215"/>
      <c r="C108" s="225">
        <v>1</v>
      </c>
      <c r="D108" s="216" t="s">
        <v>1842</v>
      </c>
      <c r="E108" s="217">
        <v>33374000</v>
      </c>
      <c r="F108" s="217">
        <v>0</v>
      </c>
      <c r="G108" s="217">
        <v>0</v>
      </c>
      <c r="H108" s="217">
        <v>0</v>
      </c>
      <c r="I108" s="217">
        <v>0</v>
      </c>
      <c r="J108" s="217">
        <v>33374000</v>
      </c>
      <c r="K108" s="217"/>
    </row>
    <row r="109" spans="1:11" s="203" customFormat="1" ht="12">
      <c r="A109" s="211"/>
      <c r="B109" s="215"/>
      <c r="C109" s="215"/>
      <c r="D109" s="216"/>
      <c r="E109" s="217"/>
      <c r="F109" s="217"/>
      <c r="G109" s="217"/>
      <c r="H109" s="217"/>
      <c r="I109" s="217"/>
      <c r="J109" s="217"/>
      <c r="K109" s="217"/>
    </row>
    <row r="110" spans="1:11" s="204" customFormat="1" ht="12">
      <c r="A110" s="214"/>
      <c r="B110" s="218">
        <v>14</v>
      </c>
      <c r="C110" s="2130" t="s">
        <v>1843</v>
      </c>
      <c r="D110" s="2131"/>
      <c r="E110" s="213"/>
      <c r="F110" s="213"/>
      <c r="G110" s="213"/>
      <c r="H110" s="213"/>
      <c r="I110" s="213"/>
      <c r="J110" s="213"/>
      <c r="K110" s="213">
        <v>179459500</v>
      </c>
    </row>
    <row r="111" spans="1:11" s="204" customFormat="1" ht="12">
      <c r="A111" s="214"/>
      <c r="B111" s="215"/>
      <c r="C111" s="215">
        <v>1</v>
      </c>
      <c r="D111" s="216" t="s">
        <v>1844</v>
      </c>
      <c r="E111" s="217">
        <v>179459500</v>
      </c>
      <c r="F111" s="217">
        <v>0</v>
      </c>
      <c r="G111" s="217">
        <v>0</v>
      </c>
      <c r="H111" s="217">
        <v>0</v>
      </c>
      <c r="I111" s="217">
        <v>0</v>
      </c>
      <c r="J111" s="217">
        <v>179459500</v>
      </c>
      <c r="K111" s="217"/>
    </row>
    <row r="112" spans="1:11" s="203" customFormat="1" ht="12">
      <c r="A112" s="211"/>
      <c r="B112" s="215"/>
      <c r="C112" s="215"/>
      <c r="D112" s="216"/>
      <c r="E112" s="217"/>
      <c r="F112" s="217"/>
      <c r="G112" s="217"/>
      <c r="H112" s="217"/>
      <c r="I112" s="217"/>
      <c r="J112" s="217"/>
      <c r="K112" s="217"/>
    </row>
    <row r="113" spans="1:11" s="204" customFormat="1" ht="12">
      <c r="A113" s="214"/>
      <c r="B113" s="218">
        <v>15</v>
      </c>
      <c r="C113" s="2130" t="s">
        <v>1585</v>
      </c>
      <c r="D113" s="2131"/>
      <c r="E113" s="213"/>
      <c r="F113" s="213"/>
      <c r="G113" s="213"/>
      <c r="H113" s="213"/>
      <c r="I113" s="213"/>
      <c r="J113" s="213"/>
      <c r="K113" s="213">
        <v>988129500</v>
      </c>
    </row>
    <row r="114" spans="1:11" s="204" customFormat="1" ht="12">
      <c r="A114" s="214"/>
      <c r="B114" s="215"/>
      <c r="C114" s="215">
        <v>1</v>
      </c>
      <c r="D114" s="216" t="s">
        <v>1845</v>
      </c>
      <c r="E114" s="217">
        <v>342732500</v>
      </c>
      <c r="F114" s="217">
        <v>0</v>
      </c>
      <c r="G114" s="217">
        <v>0</v>
      </c>
      <c r="H114" s="217">
        <v>0</v>
      </c>
      <c r="I114" s="217">
        <v>0</v>
      </c>
      <c r="J114" s="217">
        <v>342732500</v>
      </c>
      <c r="K114" s="217"/>
    </row>
    <row r="115" spans="1:11" s="204" customFormat="1" ht="12">
      <c r="A115" s="214"/>
      <c r="B115" s="215"/>
      <c r="C115" s="215">
        <v>2</v>
      </c>
      <c r="D115" s="216" t="s">
        <v>1846</v>
      </c>
      <c r="E115" s="217">
        <v>295982000</v>
      </c>
      <c r="F115" s="217">
        <v>0</v>
      </c>
      <c r="G115" s="217">
        <v>0</v>
      </c>
      <c r="H115" s="217">
        <v>0</v>
      </c>
      <c r="I115" s="217">
        <v>0</v>
      </c>
      <c r="J115" s="217">
        <v>295982000</v>
      </c>
      <c r="K115" s="217"/>
    </row>
    <row r="116" spans="1:11" s="205" customFormat="1" ht="12">
      <c r="A116" s="226"/>
      <c r="B116" s="215"/>
      <c r="C116" s="215">
        <v>3</v>
      </c>
      <c r="D116" s="216" t="s">
        <v>1847</v>
      </c>
      <c r="E116" s="217"/>
      <c r="F116" s="217">
        <v>349415000</v>
      </c>
      <c r="G116" s="217"/>
      <c r="H116" s="217"/>
      <c r="I116" s="217"/>
      <c r="J116" s="217">
        <v>349415000</v>
      </c>
      <c r="K116" s="217"/>
    </row>
    <row r="117" spans="1:11" s="203" customFormat="1" ht="12">
      <c r="A117" s="211"/>
      <c r="B117" s="215"/>
      <c r="C117" s="215"/>
      <c r="D117" s="216"/>
      <c r="E117" s="217"/>
      <c r="F117" s="217"/>
      <c r="G117" s="217"/>
      <c r="H117" s="217"/>
      <c r="I117" s="217"/>
      <c r="J117" s="217"/>
      <c r="K117" s="217"/>
    </row>
    <row r="118" spans="1:11" s="204" customFormat="1" ht="12">
      <c r="A118" s="214"/>
      <c r="B118" s="218">
        <v>16</v>
      </c>
      <c r="C118" s="2130" t="s">
        <v>1848</v>
      </c>
      <c r="D118" s="2131"/>
      <c r="E118" s="213"/>
      <c r="F118" s="213"/>
      <c r="G118" s="213"/>
      <c r="H118" s="213"/>
      <c r="I118" s="213"/>
      <c r="J118" s="213"/>
      <c r="K118" s="213">
        <v>231192500</v>
      </c>
    </row>
    <row r="119" spans="1:11" s="204" customFormat="1" ht="12">
      <c r="A119" s="214"/>
      <c r="B119" s="215"/>
      <c r="C119" s="215">
        <v>1</v>
      </c>
      <c r="D119" s="216" t="s">
        <v>1823</v>
      </c>
      <c r="E119" s="217">
        <v>231192500</v>
      </c>
      <c r="F119" s="217">
        <v>0</v>
      </c>
      <c r="G119" s="217">
        <v>0</v>
      </c>
      <c r="H119" s="217">
        <v>0</v>
      </c>
      <c r="I119" s="217"/>
      <c r="J119" s="217">
        <v>231192500</v>
      </c>
      <c r="K119" s="217"/>
    </row>
    <row r="120" spans="1:11" s="203" customFormat="1" ht="12">
      <c r="A120" s="211"/>
      <c r="B120" s="215"/>
      <c r="C120" s="215"/>
      <c r="D120" s="216"/>
      <c r="E120" s="217"/>
      <c r="F120" s="217"/>
      <c r="G120" s="217"/>
      <c r="H120" s="217"/>
      <c r="I120" s="217"/>
      <c r="J120" s="217"/>
      <c r="K120" s="217"/>
    </row>
    <row r="121" spans="1:11" s="204" customFormat="1" ht="12">
      <c r="A121" s="214"/>
      <c r="B121" s="218">
        <v>17</v>
      </c>
      <c r="C121" s="2130" t="s">
        <v>1849</v>
      </c>
      <c r="D121" s="2131"/>
      <c r="E121" s="213"/>
      <c r="F121" s="213"/>
      <c r="G121" s="213"/>
      <c r="H121" s="213"/>
      <c r="I121" s="213"/>
      <c r="J121" s="213"/>
      <c r="K121" s="213">
        <v>2067668500</v>
      </c>
    </row>
    <row r="122" spans="1:11" s="204" customFormat="1" ht="12">
      <c r="A122" s="214"/>
      <c r="B122" s="215"/>
      <c r="C122" s="215">
        <v>1</v>
      </c>
      <c r="D122" s="216" t="s">
        <v>1823</v>
      </c>
      <c r="E122" s="217">
        <v>1788505000</v>
      </c>
      <c r="F122" s="217">
        <v>0</v>
      </c>
      <c r="G122" s="217">
        <v>0</v>
      </c>
      <c r="H122" s="217">
        <v>0</v>
      </c>
      <c r="I122" s="217">
        <v>0</v>
      </c>
      <c r="J122" s="217">
        <v>1788505000</v>
      </c>
      <c r="K122" s="217"/>
    </row>
    <row r="123" spans="1:11" s="204" customFormat="1" ht="12">
      <c r="A123" s="214"/>
      <c r="B123" s="215"/>
      <c r="C123" s="215">
        <v>2</v>
      </c>
      <c r="D123" s="216" t="s">
        <v>1850</v>
      </c>
      <c r="E123" s="217">
        <v>279163500</v>
      </c>
      <c r="F123" s="217">
        <v>0</v>
      </c>
      <c r="G123" s="217">
        <v>0</v>
      </c>
      <c r="H123" s="217">
        <v>0</v>
      </c>
      <c r="I123" s="217">
        <v>0</v>
      </c>
      <c r="J123" s="217">
        <v>279163500</v>
      </c>
      <c r="K123" s="217"/>
    </row>
    <row r="124" spans="1:11" s="203" customFormat="1" ht="12">
      <c r="A124" s="211"/>
      <c r="B124" s="215"/>
      <c r="C124" s="215"/>
      <c r="D124" s="216"/>
      <c r="E124" s="217"/>
      <c r="F124" s="217"/>
      <c r="G124" s="217"/>
      <c r="H124" s="217"/>
      <c r="I124" s="217"/>
      <c r="J124" s="217"/>
      <c r="K124" s="217"/>
    </row>
    <row r="125" spans="1:11" s="204" customFormat="1" ht="12">
      <c r="A125" s="214"/>
      <c r="B125" s="218">
        <v>18</v>
      </c>
      <c r="C125" s="2130" t="s">
        <v>189</v>
      </c>
      <c r="D125" s="2131"/>
      <c r="E125" s="213"/>
      <c r="F125" s="213"/>
      <c r="G125" s="213"/>
      <c r="H125" s="213"/>
      <c r="I125" s="213"/>
      <c r="J125" s="213"/>
      <c r="K125" s="213">
        <v>309219000</v>
      </c>
    </row>
    <row r="126" spans="1:11" s="204" customFormat="1" ht="12">
      <c r="A126" s="214"/>
      <c r="B126" s="215"/>
      <c r="C126" s="215">
        <v>1</v>
      </c>
      <c r="D126" s="216" t="s">
        <v>1851</v>
      </c>
      <c r="E126" s="217">
        <v>309219000</v>
      </c>
      <c r="F126" s="217"/>
      <c r="G126" s="217">
        <v>0</v>
      </c>
      <c r="H126" s="217">
        <v>0</v>
      </c>
      <c r="I126" s="217">
        <v>0</v>
      </c>
      <c r="J126" s="217">
        <v>309219000</v>
      </c>
      <c r="K126" s="217"/>
    </row>
    <row r="127" spans="1:11" s="203" customFormat="1" ht="12">
      <c r="A127" s="211"/>
      <c r="B127" s="215"/>
      <c r="C127" s="215"/>
      <c r="D127" s="216"/>
      <c r="E127" s="217"/>
      <c r="F127" s="217"/>
      <c r="G127" s="217"/>
      <c r="H127" s="217"/>
      <c r="I127" s="217"/>
      <c r="J127" s="217"/>
      <c r="K127" s="217"/>
    </row>
    <row r="128" spans="1:11" s="204" customFormat="1" ht="12">
      <c r="A128" s="214"/>
      <c r="B128" s="218">
        <v>19</v>
      </c>
      <c r="C128" s="2130" t="s">
        <v>1852</v>
      </c>
      <c r="D128" s="2131"/>
      <c r="E128" s="213"/>
      <c r="F128" s="213"/>
      <c r="G128" s="213"/>
      <c r="H128" s="213"/>
      <c r="I128" s="213"/>
      <c r="J128" s="213"/>
      <c r="K128" s="213">
        <v>9379707300</v>
      </c>
    </row>
    <row r="129" spans="1:11" s="204" customFormat="1" ht="12">
      <c r="A129" s="214"/>
      <c r="B129" s="215"/>
      <c r="C129" s="215">
        <v>1</v>
      </c>
      <c r="D129" s="216" t="s">
        <v>1853</v>
      </c>
      <c r="E129" s="217">
        <v>29601000</v>
      </c>
      <c r="F129" s="217">
        <v>0</v>
      </c>
      <c r="G129" s="217">
        <v>0</v>
      </c>
      <c r="H129" s="217">
        <v>0</v>
      </c>
      <c r="I129" s="217">
        <v>0</v>
      </c>
      <c r="J129" s="217">
        <v>29601000</v>
      </c>
      <c r="K129" s="217"/>
    </row>
    <row r="130" spans="1:11" s="204" customFormat="1" ht="12">
      <c r="A130" s="214"/>
      <c r="B130" s="215"/>
      <c r="C130" s="215">
        <v>2</v>
      </c>
      <c r="D130" s="216" t="s">
        <v>1854</v>
      </c>
      <c r="E130" s="217">
        <v>40642800</v>
      </c>
      <c r="F130" s="217">
        <v>0</v>
      </c>
      <c r="G130" s="217">
        <v>0</v>
      </c>
      <c r="H130" s="217">
        <v>0</v>
      </c>
      <c r="I130" s="217">
        <v>0</v>
      </c>
      <c r="J130" s="217">
        <v>40642800</v>
      </c>
      <c r="K130" s="217"/>
    </row>
    <row r="131" spans="1:11" s="204" customFormat="1" ht="12">
      <c r="A131" s="214"/>
      <c r="B131" s="215"/>
      <c r="C131" s="215">
        <v>4</v>
      </c>
      <c r="D131" s="216" t="s">
        <v>1855</v>
      </c>
      <c r="E131" s="217">
        <v>376957000</v>
      </c>
      <c r="F131" s="217"/>
      <c r="G131" s="217">
        <v>0</v>
      </c>
      <c r="H131" s="217">
        <v>0</v>
      </c>
      <c r="I131" s="217">
        <v>0</v>
      </c>
      <c r="J131" s="217">
        <v>376957000</v>
      </c>
      <c r="K131" s="217"/>
    </row>
    <row r="132" spans="1:11" s="204" customFormat="1" ht="12">
      <c r="A132" s="214"/>
      <c r="B132" s="215"/>
      <c r="C132" s="225">
        <v>5</v>
      </c>
      <c r="D132" s="216" t="s">
        <v>1856</v>
      </c>
      <c r="E132" s="217">
        <v>2100362400</v>
      </c>
      <c r="F132" s="217"/>
      <c r="G132" s="217">
        <v>0</v>
      </c>
      <c r="H132" s="217">
        <v>0</v>
      </c>
      <c r="I132" s="217">
        <v>0</v>
      </c>
      <c r="J132" s="217">
        <v>2100362400</v>
      </c>
      <c r="K132" s="217"/>
    </row>
    <row r="133" spans="1:11" s="204" customFormat="1" ht="12">
      <c r="A133" s="214"/>
      <c r="B133" s="215"/>
      <c r="C133" s="215">
        <v>6</v>
      </c>
      <c r="D133" s="216" t="s">
        <v>1857</v>
      </c>
      <c r="E133" s="217">
        <v>6114250500</v>
      </c>
      <c r="F133" s="217"/>
      <c r="G133" s="217">
        <v>0</v>
      </c>
      <c r="H133" s="217">
        <v>0</v>
      </c>
      <c r="I133" s="217">
        <v>0</v>
      </c>
      <c r="J133" s="217">
        <v>6114250500</v>
      </c>
      <c r="K133" s="217"/>
    </row>
    <row r="134" spans="1:11" s="204" customFormat="1" ht="12">
      <c r="A134" s="214"/>
      <c r="B134" s="215"/>
      <c r="C134" s="225">
        <v>7</v>
      </c>
      <c r="D134" s="216" t="s">
        <v>1858</v>
      </c>
      <c r="E134" s="217">
        <v>717893600</v>
      </c>
      <c r="F134" s="217"/>
      <c r="G134" s="217">
        <v>0</v>
      </c>
      <c r="H134" s="217">
        <v>0</v>
      </c>
      <c r="I134" s="217">
        <v>0</v>
      </c>
      <c r="J134" s="217">
        <v>717893600</v>
      </c>
      <c r="K134" s="217"/>
    </row>
    <row r="135" spans="1:11" s="204" customFormat="1" ht="12">
      <c r="A135" s="214"/>
      <c r="B135" s="215"/>
      <c r="C135" s="215"/>
      <c r="D135" s="216"/>
      <c r="E135" s="217"/>
      <c r="F135" s="217"/>
      <c r="G135" s="217"/>
      <c r="H135" s="217"/>
      <c r="I135" s="217"/>
      <c r="J135" s="217"/>
      <c r="K135" s="217"/>
    </row>
    <row r="136" spans="1:11" s="204" customFormat="1" ht="12">
      <c r="A136" s="214"/>
      <c r="B136" s="218">
        <v>20</v>
      </c>
      <c r="C136" s="2130" t="s">
        <v>1859</v>
      </c>
      <c r="D136" s="2131"/>
      <c r="E136" s="213">
        <v>0</v>
      </c>
      <c r="F136" s="213"/>
      <c r="G136" s="213">
        <v>0</v>
      </c>
      <c r="H136" s="213">
        <v>0</v>
      </c>
      <c r="I136" s="213">
        <v>0</v>
      </c>
      <c r="J136" s="213"/>
      <c r="K136" s="213">
        <v>99600000</v>
      </c>
    </row>
    <row r="137" spans="1:11" s="204" customFormat="1" thickBot="1">
      <c r="A137" s="214"/>
      <c r="B137" s="1935"/>
      <c r="C137" s="1935">
        <v>1</v>
      </c>
      <c r="D137" s="1936" t="s">
        <v>1860</v>
      </c>
      <c r="E137" s="1937"/>
      <c r="F137" s="1937">
        <v>49800000</v>
      </c>
      <c r="G137" s="1937">
        <v>0</v>
      </c>
      <c r="H137" s="1937">
        <v>0</v>
      </c>
      <c r="I137" s="1937">
        <v>0</v>
      </c>
      <c r="J137" s="1937">
        <v>49800000</v>
      </c>
      <c r="K137" s="1937"/>
    </row>
    <row r="138" spans="1:11" s="204" customFormat="1" ht="12">
      <c r="A138" s="214"/>
      <c r="B138" s="215"/>
      <c r="C138" s="215">
        <v>2</v>
      </c>
      <c r="D138" s="216" t="s">
        <v>1861</v>
      </c>
      <c r="E138" s="217"/>
      <c r="F138" s="217">
        <v>49800000</v>
      </c>
      <c r="G138" s="217">
        <v>0</v>
      </c>
      <c r="H138" s="217">
        <v>0</v>
      </c>
      <c r="I138" s="217">
        <v>0</v>
      </c>
      <c r="J138" s="217">
        <v>49800000</v>
      </c>
      <c r="K138" s="217"/>
    </row>
    <row r="139" spans="1:11" s="204" customFormat="1" ht="12">
      <c r="A139" s="214"/>
      <c r="B139" s="215"/>
      <c r="C139" s="227"/>
      <c r="D139" s="228"/>
      <c r="E139" s="217"/>
      <c r="F139" s="217"/>
      <c r="G139" s="217"/>
      <c r="H139" s="217"/>
      <c r="I139" s="217"/>
      <c r="J139" s="217"/>
      <c r="K139" s="217"/>
    </row>
    <row r="140" spans="1:11" s="204" customFormat="1" ht="12">
      <c r="A140" s="214"/>
      <c r="B140" s="218">
        <v>21</v>
      </c>
      <c r="C140" s="2130" t="s">
        <v>190</v>
      </c>
      <c r="D140" s="2131"/>
      <c r="E140" s="213"/>
      <c r="F140" s="213"/>
      <c r="G140" s="213"/>
      <c r="H140" s="213"/>
      <c r="I140" s="213"/>
      <c r="J140" s="213"/>
      <c r="K140" s="213">
        <v>23840000</v>
      </c>
    </row>
    <row r="141" spans="1:11" s="204" customFormat="1" ht="12">
      <c r="A141" s="214"/>
      <c r="B141" s="215"/>
      <c r="C141" s="215">
        <v>1</v>
      </c>
      <c r="D141" s="216" t="s">
        <v>1862</v>
      </c>
      <c r="E141" s="217"/>
      <c r="F141" s="217">
        <v>23840000</v>
      </c>
      <c r="G141" s="217">
        <v>0</v>
      </c>
      <c r="H141" s="217">
        <v>0</v>
      </c>
      <c r="I141" s="217">
        <v>0</v>
      </c>
      <c r="J141" s="217">
        <v>23840000</v>
      </c>
      <c r="K141" s="217"/>
    </row>
    <row r="142" spans="1:11" s="204" customFormat="1" ht="12">
      <c r="A142" s="214"/>
      <c r="B142" s="215"/>
      <c r="C142" s="227"/>
      <c r="D142" s="228"/>
      <c r="E142" s="217"/>
      <c r="F142" s="217"/>
      <c r="G142" s="217"/>
      <c r="H142" s="217"/>
      <c r="I142" s="217"/>
      <c r="J142" s="217"/>
      <c r="K142" s="217"/>
    </row>
    <row r="143" spans="1:11" s="204" customFormat="1" ht="12">
      <c r="A143" s="214"/>
      <c r="B143" s="218">
        <v>22</v>
      </c>
      <c r="C143" s="2130" t="s">
        <v>156</v>
      </c>
      <c r="D143" s="2131"/>
      <c r="E143" s="213">
        <v>0</v>
      </c>
      <c r="F143" s="213"/>
      <c r="G143" s="213">
        <v>0</v>
      </c>
      <c r="H143" s="213">
        <v>0</v>
      </c>
      <c r="I143" s="213">
        <v>0</v>
      </c>
      <c r="J143" s="213"/>
      <c r="K143" s="221">
        <v>98818000</v>
      </c>
    </row>
    <row r="144" spans="1:11" s="204" customFormat="1" ht="12">
      <c r="A144" s="214"/>
      <c r="B144" s="215"/>
      <c r="C144" s="215">
        <v>1</v>
      </c>
      <c r="D144" s="216" t="s">
        <v>1863</v>
      </c>
      <c r="E144" s="217"/>
      <c r="F144" s="217">
        <v>49198000</v>
      </c>
      <c r="G144" s="217">
        <v>0</v>
      </c>
      <c r="H144" s="217">
        <v>0</v>
      </c>
      <c r="I144" s="217">
        <v>0</v>
      </c>
      <c r="J144" s="217">
        <v>49198000</v>
      </c>
      <c r="K144" s="217"/>
    </row>
    <row r="145" spans="1:11" s="204" customFormat="1" ht="12">
      <c r="A145" s="214"/>
      <c r="B145" s="215"/>
      <c r="C145" s="215">
        <v>2</v>
      </c>
      <c r="D145" s="216" t="s">
        <v>1864</v>
      </c>
      <c r="E145" s="217"/>
      <c r="F145" s="217">
        <v>49620000</v>
      </c>
      <c r="G145" s="217">
        <v>0</v>
      </c>
      <c r="H145" s="217">
        <v>0</v>
      </c>
      <c r="I145" s="217">
        <v>0</v>
      </c>
      <c r="J145" s="217">
        <v>49620000</v>
      </c>
      <c r="K145" s="217"/>
    </row>
    <row r="146" spans="1:11" s="203" customFormat="1" ht="12">
      <c r="A146" s="211"/>
      <c r="B146" s="215"/>
      <c r="C146" s="215"/>
      <c r="D146" s="216"/>
      <c r="E146" s="217"/>
      <c r="F146" s="217"/>
      <c r="G146" s="217"/>
      <c r="H146" s="217"/>
      <c r="I146" s="217"/>
      <c r="J146" s="217"/>
      <c r="K146" s="217"/>
    </row>
    <row r="147" spans="1:11" s="204" customFormat="1" ht="12">
      <c r="A147" s="214"/>
      <c r="B147" s="2132" t="s">
        <v>197</v>
      </c>
      <c r="C147" s="2133"/>
      <c r="D147" s="2134"/>
      <c r="E147" s="229">
        <v>53659895692.769997</v>
      </c>
      <c r="F147" s="229">
        <v>31373569212.880001</v>
      </c>
      <c r="G147" s="229">
        <v>-1697776000</v>
      </c>
      <c r="H147" s="229">
        <v>0</v>
      </c>
      <c r="I147" s="229">
        <v>-13405170227.77</v>
      </c>
      <c r="J147" s="229">
        <v>69930518677.880005</v>
      </c>
      <c r="K147" s="229">
        <v>69930518677.880005</v>
      </c>
    </row>
    <row r="148" spans="1:11">
      <c r="B148" s="230"/>
      <c r="C148" s="230"/>
      <c r="D148" s="231"/>
      <c r="E148" s="232"/>
      <c r="F148" s="232"/>
      <c r="G148" s="232"/>
      <c r="H148" s="232"/>
      <c r="I148" s="232"/>
      <c r="J148" s="232"/>
      <c r="K148" s="232"/>
    </row>
    <row r="149" spans="1:11">
      <c r="K149" s="233"/>
    </row>
  </sheetData>
  <mergeCells count="24">
    <mergeCell ref="C136:D136"/>
    <mergeCell ref="C140:D140"/>
    <mergeCell ref="C143:D143"/>
    <mergeCell ref="B147:D147"/>
    <mergeCell ref="C113:D113"/>
    <mergeCell ref="C118:D118"/>
    <mergeCell ref="C121:D121"/>
    <mergeCell ref="C125:D125"/>
    <mergeCell ref="C128:D128"/>
    <mergeCell ref="C90:D90"/>
    <mergeCell ref="C98:D98"/>
    <mergeCell ref="C102:D102"/>
    <mergeCell ref="C107:D107"/>
    <mergeCell ref="C110:D110"/>
    <mergeCell ref="C23:D23"/>
    <mergeCell ref="C73:D73"/>
    <mergeCell ref="C77:D77"/>
    <mergeCell ref="C80:D80"/>
    <mergeCell ref="C86:D86"/>
    <mergeCell ref="B2:K2"/>
    <mergeCell ref="B3:K3"/>
    <mergeCell ref="C7:D7"/>
    <mergeCell ref="C11:D11"/>
    <mergeCell ref="C18:D18"/>
  </mergeCells>
  <pageMargins left="1.1200000000000001" right="0.23622047244094491" top="0.27559055118110237" bottom="0.27559055118110237" header="0.11811023622047245" footer="0.15748031496062992"/>
  <pageSetup scale="60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>
  <sheetPr>
    <tabColor rgb="FF00B0F0"/>
  </sheetPr>
  <dimension ref="B1:BP29"/>
  <sheetViews>
    <sheetView workbookViewId="0">
      <selection activeCell="F8" sqref="F8"/>
    </sheetView>
  </sheetViews>
  <sheetFormatPr defaultColWidth="16.140625" defaultRowHeight="12.75"/>
  <cols>
    <col min="1" max="1" width="2.28515625" style="174" customWidth="1"/>
    <col min="2" max="2" width="3.7109375" style="174" customWidth="1"/>
    <col min="3" max="3" width="37.28515625" style="174" customWidth="1"/>
    <col min="4" max="4" width="17.140625" style="174" customWidth="1"/>
    <col min="5" max="5" width="15.85546875" style="174" customWidth="1"/>
    <col min="6" max="6" width="14.140625" style="174" customWidth="1"/>
    <col min="7" max="7" width="15.85546875" style="174" customWidth="1"/>
    <col min="8" max="8" width="15" style="174" customWidth="1"/>
    <col min="9" max="9" width="15.85546875" style="174" customWidth="1"/>
    <col min="10" max="10" width="12.85546875" style="174" customWidth="1"/>
    <col min="11" max="11" width="14.140625" style="174" customWidth="1"/>
    <col min="12" max="12" width="15.42578125" style="174" customWidth="1"/>
    <col min="13" max="14" width="14.140625" style="174" customWidth="1"/>
    <col min="15" max="15" width="15" style="174" customWidth="1"/>
    <col min="16" max="16" width="14.140625" style="174" customWidth="1"/>
    <col min="17" max="17" width="15" style="174" customWidth="1"/>
    <col min="18" max="20" width="14.140625" style="174" customWidth="1"/>
    <col min="21" max="21" width="15" style="174" customWidth="1"/>
    <col min="22" max="22" width="14.42578125" style="174" customWidth="1"/>
    <col min="23" max="23" width="14.140625" style="174" customWidth="1"/>
    <col min="24" max="24" width="4.5703125" style="174" customWidth="1"/>
    <col min="25" max="27" width="15" style="174" customWidth="1"/>
    <col min="28" max="28" width="14.140625" style="174" customWidth="1"/>
    <col min="29" max="29" width="15.28515625" style="174" customWidth="1"/>
    <col min="30" max="30" width="15" style="174" customWidth="1"/>
    <col min="31" max="32" width="14.140625" style="174" customWidth="1"/>
    <col min="33" max="33" width="15" style="174" customWidth="1"/>
    <col min="34" max="34" width="14.140625" style="174" customWidth="1"/>
    <col min="35" max="35" width="15" style="174" customWidth="1"/>
    <col min="36" max="36" width="14.140625" style="174" customWidth="1"/>
    <col min="37" max="38" width="15" style="174" customWidth="1"/>
    <col min="39" max="39" width="14.140625" style="174" customWidth="1"/>
    <col min="40" max="40" width="19.140625" style="174" customWidth="1"/>
    <col min="41" max="16384" width="16.140625" style="174"/>
  </cols>
  <sheetData>
    <row r="1" spans="2:68">
      <c r="B1" s="2135" t="s">
        <v>0</v>
      </c>
      <c r="C1" s="2135"/>
      <c r="D1" s="2135"/>
      <c r="E1" s="2135"/>
      <c r="F1" s="2135"/>
      <c r="G1" s="2135"/>
      <c r="H1" s="2135"/>
      <c r="I1" s="2135"/>
      <c r="J1" s="2135"/>
      <c r="K1" s="2135"/>
      <c r="L1" s="2135"/>
      <c r="M1" s="2135"/>
      <c r="N1" s="2135"/>
      <c r="O1" s="194"/>
      <c r="P1" s="195"/>
      <c r="Q1" s="195"/>
      <c r="R1" s="195"/>
      <c r="S1" s="195"/>
      <c r="T1" s="195"/>
      <c r="U1" s="195"/>
      <c r="V1" s="195"/>
      <c r="W1" s="195"/>
      <c r="X1" s="195"/>
      <c r="Y1" s="195"/>
      <c r="Z1" s="195"/>
      <c r="AA1" s="195"/>
      <c r="AB1" s="195"/>
      <c r="AC1" s="195"/>
      <c r="AD1" s="195"/>
      <c r="AE1" s="195"/>
      <c r="AF1" s="195"/>
      <c r="AG1" s="195"/>
      <c r="AH1" s="195"/>
      <c r="AI1" s="195"/>
      <c r="AJ1" s="195"/>
      <c r="AK1" s="195"/>
      <c r="AL1" s="195"/>
      <c r="AM1" s="195"/>
      <c r="AN1" s="195"/>
      <c r="AO1" s="195"/>
      <c r="AP1" s="195"/>
      <c r="AQ1" s="195"/>
      <c r="AR1" s="195"/>
      <c r="AS1" s="195"/>
      <c r="AT1" s="195"/>
      <c r="AU1" s="195"/>
      <c r="AV1" s="195"/>
      <c r="AW1" s="195"/>
      <c r="AX1" s="195"/>
      <c r="AY1" s="195"/>
      <c r="AZ1" s="195"/>
      <c r="BA1" s="195"/>
      <c r="BB1" s="195"/>
      <c r="BC1" s="195"/>
      <c r="BD1" s="195"/>
      <c r="BE1" s="195"/>
      <c r="BF1" s="195"/>
      <c r="BG1" s="195"/>
      <c r="BH1" s="195"/>
      <c r="BI1" s="195"/>
      <c r="BJ1" s="195"/>
      <c r="BK1" s="195"/>
      <c r="BL1" s="195"/>
      <c r="BM1" s="195"/>
      <c r="BN1" s="195"/>
      <c r="BO1" s="195"/>
      <c r="BP1" s="195"/>
    </row>
    <row r="2" spans="2:68">
      <c r="B2" s="2135" t="s">
        <v>1865</v>
      </c>
      <c r="C2" s="2135"/>
      <c r="D2" s="2135"/>
      <c r="E2" s="2135"/>
      <c r="F2" s="2135"/>
      <c r="G2" s="2135"/>
      <c r="H2" s="2135"/>
      <c r="I2" s="2135"/>
      <c r="J2" s="2135"/>
      <c r="K2" s="2135"/>
      <c r="L2" s="2135"/>
      <c r="M2" s="2135"/>
      <c r="N2" s="2135"/>
      <c r="O2" s="194"/>
      <c r="P2" s="195"/>
      <c r="Q2" s="195"/>
      <c r="R2" s="195"/>
      <c r="S2" s="195"/>
      <c r="T2" s="195"/>
      <c r="U2" s="195"/>
      <c r="V2" s="195"/>
      <c r="W2" s="195"/>
      <c r="X2" s="195"/>
      <c r="Y2" s="195"/>
      <c r="Z2" s="195"/>
      <c r="AA2" s="195"/>
      <c r="AB2" s="195"/>
      <c r="AC2" s="195"/>
      <c r="AD2" s="195"/>
      <c r="AE2" s="195"/>
      <c r="AF2" s="195"/>
      <c r="AG2" s="195"/>
      <c r="AH2" s="195"/>
      <c r="AI2" s="195"/>
      <c r="AJ2" s="195"/>
      <c r="AK2" s="195"/>
      <c r="AL2" s="195"/>
      <c r="AM2" s="195"/>
      <c r="AN2" s="195"/>
      <c r="AO2" s="195"/>
      <c r="AP2" s="195"/>
      <c r="AQ2" s="195"/>
      <c r="AR2" s="195"/>
      <c r="AS2" s="195"/>
      <c r="AT2" s="195"/>
      <c r="AU2" s="195"/>
      <c r="AV2" s="195"/>
      <c r="AW2" s="195"/>
      <c r="AX2" s="195"/>
      <c r="AY2" s="195"/>
      <c r="AZ2" s="195"/>
      <c r="BA2" s="195"/>
      <c r="BB2" s="195"/>
      <c r="BC2" s="195"/>
      <c r="BD2" s="195"/>
      <c r="BE2" s="195"/>
      <c r="BF2" s="195"/>
      <c r="BG2" s="195"/>
      <c r="BH2" s="195"/>
      <c r="BI2" s="195"/>
      <c r="BJ2" s="195"/>
      <c r="BK2" s="195"/>
      <c r="BL2" s="195"/>
      <c r="BM2" s="195"/>
      <c r="BN2" s="195"/>
      <c r="BO2" s="195"/>
      <c r="BP2" s="195"/>
    </row>
    <row r="3" spans="2:68">
      <c r="B3" s="2135" t="s">
        <v>2</v>
      </c>
      <c r="C3" s="2135"/>
      <c r="D3" s="2135"/>
      <c r="E3" s="2135"/>
      <c r="F3" s="2135"/>
      <c r="G3" s="2135"/>
      <c r="H3" s="2135"/>
      <c r="I3" s="2135"/>
      <c r="J3" s="2135"/>
      <c r="K3" s="2135"/>
      <c r="L3" s="2135"/>
      <c r="M3" s="2135"/>
      <c r="N3" s="2135"/>
      <c r="O3" s="194"/>
      <c r="P3" s="195"/>
      <c r="Q3" s="195"/>
      <c r="R3" s="195"/>
      <c r="S3" s="195"/>
      <c r="T3" s="195"/>
      <c r="U3" s="195"/>
      <c r="V3" s="195"/>
      <c r="W3" s="195"/>
      <c r="X3" s="195"/>
      <c r="Y3" s="195"/>
      <c r="Z3" s="195"/>
      <c r="AA3" s="195"/>
      <c r="AB3" s="195"/>
      <c r="AC3" s="195"/>
      <c r="AD3" s="195"/>
      <c r="AE3" s="195"/>
      <c r="AF3" s="195"/>
      <c r="AG3" s="195"/>
      <c r="AH3" s="195"/>
      <c r="AI3" s="195"/>
      <c r="AJ3" s="195"/>
      <c r="AK3" s="195"/>
      <c r="AL3" s="195"/>
      <c r="AM3" s="195"/>
      <c r="AN3" s="195"/>
      <c r="AO3" s="195"/>
      <c r="AP3" s="195"/>
      <c r="AQ3" s="195"/>
      <c r="AR3" s="195"/>
      <c r="AS3" s="195"/>
      <c r="AT3" s="195"/>
      <c r="AU3" s="195"/>
      <c r="AV3" s="195"/>
      <c r="AW3" s="195"/>
      <c r="AX3" s="195"/>
      <c r="AY3" s="195"/>
      <c r="AZ3" s="195"/>
      <c r="BA3" s="195"/>
      <c r="BB3" s="195"/>
      <c r="BC3" s="195"/>
      <c r="BD3" s="195"/>
      <c r="BE3" s="195"/>
      <c r="BF3" s="195"/>
      <c r="BG3" s="195"/>
      <c r="BH3" s="195"/>
      <c r="BI3" s="195"/>
      <c r="BJ3" s="195"/>
      <c r="BK3" s="195"/>
      <c r="BL3" s="195"/>
      <c r="BM3" s="195"/>
      <c r="BN3" s="195"/>
      <c r="BO3" s="195"/>
      <c r="BP3" s="195"/>
    </row>
    <row r="4" spans="2:68">
      <c r="N4" s="1949" t="s">
        <v>3</v>
      </c>
    </row>
    <row r="5" spans="2:68" s="173" customFormat="1" ht="26.25" customHeight="1">
      <c r="B5" s="175" t="s">
        <v>4</v>
      </c>
      <c r="C5" s="175" t="s">
        <v>114</v>
      </c>
      <c r="D5" s="176" t="s">
        <v>197</v>
      </c>
      <c r="E5" s="177" t="s">
        <v>155</v>
      </c>
      <c r="F5" s="177" t="s">
        <v>156</v>
      </c>
      <c r="G5" s="178" t="s">
        <v>1763</v>
      </c>
      <c r="H5" s="177" t="s">
        <v>158</v>
      </c>
      <c r="I5" s="177" t="s">
        <v>1117</v>
      </c>
      <c r="J5" s="177" t="s">
        <v>1140</v>
      </c>
      <c r="K5" s="177" t="s">
        <v>1866</v>
      </c>
      <c r="L5" s="177" t="s">
        <v>162</v>
      </c>
      <c r="M5" s="177" t="s">
        <v>46</v>
      </c>
      <c r="N5" s="177" t="s">
        <v>1867</v>
      </c>
      <c r="O5" s="177" t="s">
        <v>1446</v>
      </c>
      <c r="P5" s="177" t="s">
        <v>166</v>
      </c>
      <c r="Q5" s="177" t="s">
        <v>1286</v>
      </c>
      <c r="R5" s="177" t="s">
        <v>1868</v>
      </c>
      <c r="S5" s="177" t="s">
        <v>1454</v>
      </c>
      <c r="T5" s="177" t="s">
        <v>1869</v>
      </c>
      <c r="U5" s="177" t="s">
        <v>1870</v>
      </c>
      <c r="V5" s="177" t="s">
        <v>1871</v>
      </c>
      <c r="W5" s="177" t="s">
        <v>1872</v>
      </c>
      <c r="X5" s="177" t="s">
        <v>181</v>
      </c>
      <c r="Y5" s="177" t="s">
        <v>1873</v>
      </c>
      <c r="Z5" s="177" t="s">
        <v>1874</v>
      </c>
      <c r="AA5" s="177" t="s">
        <v>1875</v>
      </c>
      <c r="AB5" s="177" t="s">
        <v>1876</v>
      </c>
      <c r="AC5" s="177" t="s">
        <v>1303</v>
      </c>
      <c r="AD5" s="177" t="s">
        <v>1585</v>
      </c>
      <c r="AE5" s="177" t="s">
        <v>185</v>
      </c>
      <c r="AF5" s="177" t="s">
        <v>1877</v>
      </c>
      <c r="AG5" s="177" t="s">
        <v>1878</v>
      </c>
      <c r="AH5" s="177" t="s">
        <v>1879</v>
      </c>
      <c r="AI5" s="177" t="s">
        <v>189</v>
      </c>
      <c r="AJ5" s="177" t="s">
        <v>190</v>
      </c>
      <c r="AK5" s="177" t="s">
        <v>1880</v>
      </c>
      <c r="AL5" s="177" t="s">
        <v>1881</v>
      </c>
      <c r="AM5" s="177" t="s">
        <v>1882</v>
      </c>
      <c r="AN5" s="198"/>
      <c r="AO5" s="198"/>
      <c r="AP5" s="198"/>
      <c r="AQ5" s="198"/>
      <c r="AR5" s="198"/>
      <c r="AS5" s="198"/>
      <c r="AT5" s="198"/>
      <c r="AU5" s="198"/>
      <c r="AV5" s="198"/>
      <c r="AW5" s="198"/>
      <c r="AX5" s="198"/>
      <c r="AY5" s="198"/>
      <c r="AZ5" s="198"/>
      <c r="BA5" s="198"/>
      <c r="BB5" s="198"/>
      <c r="BC5" s="198"/>
      <c r="BD5" s="198"/>
      <c r="BE5" s="198"/>
      <c r="BF5" s="198"/>
      <c r="BG5" s="198"/>
      <c r="BH5" s="198"/>
      <c r="BI5" s="198"/>
      <c r="BJ5" s="198"/>
      <c r="BK5" s="198"/>
      <c r="BL5" s="198"/>
      <c r="BM5" s="198"/>
      <c r="BN5" s="198"/>
      <c r="BO5" s="198"/>
      <c r="BP5" s="198"/>
    </row>
    <row r="6" spans="2:68" s="52" customFormat="1" ht="11.25">
      <c r="B6" s="179"/>
      <c r="C6" s="180"/>
      <c r="D6" s="181"/>
      <c r="E6" s="182"/>
      <c r="F6" s="182"/>
      <c r="G6" s="182"/>
      <c r="H6" s="182"/>
      <c r="I6" s="182"/>
      <c r="J6" s="182"/>
      <c r="K6" s="182"/>
      <c r="L6" s="182"/>
      <c r="M6" s="182"/>
      <c r="N6" s="182"/>
      <c r="O6" s="182"/>
      <c r="P6" s="182"/>
      <c r="Q6" s="182"/>
      <c r="R6" s="182"/>
      <c r="S6" s="182"/>
      <c r="T6" s="182"/>
      <c r="U6" s="182"/>
      <c r="V6" s="182"/>
      <c r="W6" s="182"/>
      <c r="X6" s="182"/>
      <c r="Y6" s="182"/>
      <c r="Z6" s="182"/>
      <c r="AA6" s="182"/>
      <c r="AB6" s="182"/>
      <c r="AC6" s="182"/>
      <c r="AD6" s="182"/>
      <c r="AE6" s="182"/>
      <c r="AF6" s="182"/>
      <c r="AG6" s="182"/>
      <c r="AH6" s="182"/>
      <c r="AI6" s="182"/>
      <c r="AJ6" s="182"/>
      <c r="AK6" s="182"/>
      <c r="AL6" s="182"/>
      <c r="AM6" s="182"/>
      <c r="AN6" s="199"/>
      <c r="AO6" s="199"/>
      <c r="AP6" s="199"/>
      <c r="AQ6" s="199"/>
      <c r="AR6" s="199"/>
      <c r="AS6" s="199"/>
      <c r="AT6" s="199"/>
      <c r="AU6" s="199"/>
      <c r="AV6" s="199"/>
      <c r="AW6" s="199"/>
      <c r="AX6" s="199"/>
      <c r="AY6" s="199"/>
      <c r="AZ6" s="199"/>
      <c r="BA6" s="199"/>
      <c r="BB6" s="199"/>
      <c r="BC6" s="199"/>
      <c r="BD6" s="199"/>
      <c r="BE6" s="199"/>
      <c r="BF6" s="199"/>
      <c r="BG6" s="199"/>
      <c r="BH6" s="199"/>
      <c r="BI6" s="199"/>
      <c r="BJ6" s="199"/>
      <c r="BK6" s="199"/>
      <c r="BL6" s="199"/>
      <c r="BM6" s="199"/>
      <c r="BN6" s="199"/>
      <c r="BO6" s="199"/>
      <c r="BP6" s="199"/>
    </row>
    <row r="7" spans="2:68" s="52" customFormat="1" ht="11.25">
      <c r="B7" s="183">
        <v>1</v>
      </c>
      <c r="C7" s="184" t="s">
        <v>1883</v>
      </c>
      <c r="D7" s="185">
        <f>SUM(E7:AM7)</f>
        <v>14839000300</v>
      </c>
      <c r="E7" s="186">
        <v>532413243</v>
      </c>
      <c r="F7" s="186">
        <v>0</v>
      </c>
      <c r="G7" s="186">
        <v>3951488</v>
      </c>
      <c r="H7" s="186">
        <v>22025000</v>
      </c>
      <c r="I7" s="186">
        <v>8652547747</v>
      </c>
      <c r="J7" s="186">
        <v>0</v>
      </c>
      <c r="K7" s="186">
        <v>0</v>
      </c>
      <c r="L7" s="186">
        <v>119211784</v>
      </c>
      <c r="M7" s="186">
        <v>0</v>
      </c>
      <c r="N7" s="186">
        <v>0</v>
      </c>
      <c r="O7" s="186">
        <v>170254132</v>
      </c>
      <c r="P7" s="186">
        <v>2257357</v>
      </c>
      <c r="Q7" s="186">
        <v>0</v>
      </c>
      <c r="R7" s="186">
        <v>0</v>
      </c>
      <c r="S7" s="186">
        <v>121070930</v>
      </c>
      <c r="T7" s="186">
        <v>8793167</v>
      </c>
      <c r="U7" s="186">
        <v>0</v>
      </c>
      <c r="V7" s="186">
        <v>70514882</v>
      </c>
      <c r="W7" s="186">
        <v>0</v>
      </c>
      <c r="X7" s="186">
        <v>0</v>
      </c>
      <c r="Y7" s="186">
        <v>2300439586</v>
      </c>
      <c r="Z7" s="186">
        <v>87150000</v>
      </c>
      <c r="AA7" s="186">
        <v>441964</v>
      </c>
      <c r="AB7" s="186">
        <v>0</v>
      </c>
      <c r="AC7" s="186">
        <v>0</v>
      </c>
      <c r="AD7" s="186">
        <v>49238098</v>
      </c>
      <c r="AE7" s="186">
        <v>0</v>
      </c>
      <c r="AF7" s="186">
        <v>0</v>
      </c>
      <c r="AG7" s="186">
        <v>7514250</v>
      </c>
      <c r="AH7" s="186">
        <v>0</v>
      </c>
      <c r="AI7" s="186">
        <v>194027427</v>
      </c>
      <c r="AJ7" s="186">
        <v>2692381</v>
      </c>
      <c r="AK7" s="186">
        <v>0</v>
      </c>
      <c r="AL7" s="186">
        <v>2491903293</v>
      </c>
      <c r="AM7" s="186">
        <v>2553571</v>
      </c>
      <c r="AN7" s="200"/>
      <c r="AO7" s="199"/>
      <c r="AP7" s="199"/>
      <c r="AQ7" s="199"/>
      <c r="AR7" s="199"/>
      <c r="AS7" s="199"/>
      <c r="AT7" s="199"/>
      <c r="AU7" s="199"/>
      <c r="AV7" s="199"/>
      <c r="AW7" s="199"/>
      <c r="AX7" s="199"/>
      <c r="AY7" s="199"/>
      <c r="AZ7" s="199"/>
      <c r="BA7" s="199"/>
      <c r="BB7" s="199"/>
      <c r="BC7" s="199"/>
      <c r="BD7" s="199"/>
      <c r="BE7" s="199"/>
      <c r="BF7" s="199"/>
      <c r="BG7" s="199"/>
      <c r="BH7" s="199"/>
      <c r="BI7" s="199"/>
      <c r="BJ7" s="199"/>
      <c r="BK7" s="199"/>
      <c r="BL7" s="199"/>
      <c r="BM7" s="199"/>
      <c r="BN7" s="199"/>
      <c r="BO7" s="199"/>
      <c r="BP7" s="199"/>
    </row>
    <row r="8" spans="2:68" s="52" customFormat="1" ht="11.25">
      <c r="B8" s="183">
        <v>2</v>
      </c>
      <c r="C8" s="184" t="s">
        <v>1884</v>
      </c>
      <c r="D8" s="185">
        <f t="shared" ref="D8:D23" si="0">SUM(E8:AM8)</f>
        <v>89284837355</v>
      </c>
      <c r="E8" s="186">
        <v>2055226407</v>
      </c>
      <c r="F8" s="186">
        <v>631601067</v>
      </c>
      <c r="G8" s="186">
        <v>3788744763</v>
      </c>
      <c r="H8" s="186">
        <v>633423383</v>
      </c>
      <c r="I8" s="186">
        <v>3866760644</v>
      </c>
      <c r="J8" s="186">
        <v>121254997</v>
      </c>
      <c r="K8" s="186">
        <v>977424524</v>
      </c>
      <c r="L8" s="186">
        <v>999901027</v>
      </c>
      <c r="M8" s="186">
        <v>587326285</v>
      </c>
      <c r="N8" s="186">
        <v>375825380</v>
      </c>
      <c r="O8" s="186">
        <v>9736599451</v>
      </c>
      <c r="P8" s="186">
        <v>1309643822</v>
      </c>
      <c r="Q8" s="186">
        <v>1552806926</v>
      </c>
      <c r="R8" s="186">
        <v>371382599</v>
      </c>
      <c r="S8" s="186">
        <v>627153809</v>
      </c>
      <c r="T8" s="186">
        <v>200859071</v>
      </c>
      <c r="U8" s="186">
        <v>460362609</v>
      </c>
      <c r="V8" s="186">
        <v>245162000</v>
      </c>
      <c r="W8" s="186">
        <v>2026261851</v>
      </c>
      <c r="X8" s="186">
        <v>0</v>
      </c>
      <c r="Y8" s="186">
        <v>23708606548</v>
      </c>
      <c r="Z8" s="186">
        <v>6387945650</v>
      </c>
      <c r="AA8" s="186">
        <v>4107144050</v>
      </c>
      <c r="AB8" s="186">
        <v>1054033929</v>
      </c>
      <c r="AC8" s="186">
        <v>2233656888</v>
      </c>
      <c r="AD8" s="186">
        <v>1504288606</v>
      </c>
      <c r="AE8" s="186">
        <v>362659000</v>
      </c>
      <c r="AF8" s="186">
        <v>334825121</v>
      </c>
      <c r="AG8" s="186">
        <v>1079966108</v>
      </c>
      <c r="AH8" s="186">
        <v>653703214</v>
      </c>
      <c r="AI8" s="186">
        <v>1886476784</v>
      </c>
      <c r="AJ8" s="186">
        <v>3370312942</v>
      </c>
      <c r="AK8" s="186">
        <v>762868499</v>
      </c>
      <c r="AL8" s="186">
        <v>10766517330</v>
      </c>
      <c r="AM8" s="186">
        <v>504112071</v>
      </c>
      <c r="AN8" s="200"/>
      <c r="AO8" s="199"/>
      <c r="AP8" s="199"/>
      <c r="AQ8" s="199"/>
      <c r="AR8" s="199"/>
      <c r="AS8" s="199"/>
      <c r="AT8" s="199"/>
      <c r="AU8" s="199"/>
      <c r="AV8" s="199"/>
      <c r="AW8" s="199"/>
      <c r="AX8" s="199"/>
      <c r="AY8" s="199"/>
      <c r="AZ8" s="199"/>
      <c r="BA8" s="199"/>
      <c r="BB8" s="199"/>
      <c r="BC8" s="199"/>
      <c r="BD8" s="199"/>
      <c r="BE8" s="199"/>
      <c r="BF8" s="199"/>
      <c r="BG8" s="199"/>
      <c r="BH8" s="199"/>
      <c r="BI8" s="199"/>
      <c r="BJ8" s="199"/>
      <c r="BK8" s="199"/>
      <c r="BL8" s="199"/>
      <c r="BM8" s="199"/>
      <c r="BN8" s="199"/>
      <c r="BO8" s="199"/>
      <c r="BP8" s="199"/>
    </row>
    <row r="9" spans="2:68" s="52" customFormat="1" ht="11.25">
      <c r="B9" s="183">
        <v>3</v>
      </c>
      <c r="C9" s="184" t="s">
        <v>1885</v>
      </c>
      <c r="D9" s="185">
        <f t="shared" si="0"/>
        <v>20457346018</v>
      </c>
      <c r="E9" s="186">
        <v>6296828620</v>
      </c>
      <c r="F9" s="186">
        <v>1575000</v>
      </c>
      <c r="G9" s="186">
        <v>129022570</v>
      </c>
      <c r="H9" s="186">
        <v>330779407</v>
      </c>
      <c r="I9" s="186">
        <v>786109833</v>
      </c>
      <c r="J9" s="186">
        <v>2475000</v>
      </c>
      <c r="K9" s="186">
        <v>9130000</v>
      </c>
      <c r="L9" s="186">
        <v>11417155</v>
      </c>
      <c r="M9" s="186">
        <v>13566666</v>
      </c>
      <c r="N9" s="186">
        <v>0</v>
      </c>
      <c r="O9" s="186">
        <v>189998244</v>
      </c>
      <c r="P9" s="186">
        <v>5270000</v>
      </c>
      <c r="Q9" s="186">
        <v>4675812163</v>
      </c>
      <c r="R9" s="186">
        <v>0</v>
      </c>
      <c r="S9" s="186">
        <v>1613333</v>
      </c>
      <c r="T9" s="186">
        <v>0</v>
      </c>
      <c r="U9" s="186">
        <v>0</v>
      </c>
      <c r="V9" s="186">
        <v>13850000</v>
      </c>
      <c r="W9" s="186">
        <v>0</v>
      </c>
      <c r="X9" s="186">
        <v>0</v>
      </c>
      <c r="Y9" s="186">
        <v>62103708</v>
      </c>
      <c r="Z9" s="186">
        <v>291475387</v>
      </c>
      <c r="AA9" s="186">
        <v>12333675</v>
      </c>
      <c r="AB9" s="186">
        <v>326667</v>
      </c>
      <c r="AC9" s="186">
        <v>0</v>
      </c>
      <c r="AD9" s="186">
        <v>97000000</v>
      </c>
      <c r="AE9" s="186">
        <v>833333</v>
      </c>
      <c r="AF9" s="186">
        <v>0</v>
      </c>
      <c r="AG9" s="186">
        <v>6986850</v>
      </c>
      <c r="AH9" s="186">
        <v>12000000</v>
      </c>
      <c r="AI9" s="186">
        <v>567992462</v>
      </c>
      <c r="AJ9" s="186">
        <v>884650647</v>
      </c>
      <c r="AK9" s="186">
        <v>794899500</v>
      </c>
      <c r="AL9" s="186">
        <v>4464253369</v>
      </c>
      <c r="AM9" s="186">
        <v>795042429</v>
      </c>
      <c r="AN9" s="200"/>
      <c r="AO9" s="199"/>
      <c r="AP9" s="199"/>
      <c r="AQ9" s="199"/>
      <c r="AR9" s="199"/>
      <c r="AS9" s="199"/>
      <c r="AT9" s="199"/>
      <c r="AU9" s="199"/>
      <c r="AV9" s="199"/>
      <c r="AW9" s="199"/>
      <c r="AX9" s="199"/>
      <c r="AY9" s="199"/>
      <c r="AZ9" s="199"/>
      <c r="BA9" s="199"/>
      <c r="BB9" s="199"/>
      <c r="BC9" s="199"/>
      <c r="BD9" s="199"/>
      <c r="BE9" s="199"/>
      <c r="BF9" s="199"/>
      <c r="BG9" s="199"/>
      <c r="BH9" s="199"/>
      <c r="BI9" s="199"/>
      <c r="BJ9" s="199"/>
      <c r="BK9" s="199"/>
      <c r="BL9" s="199"/>
      <c r="BM9" s="199"/>
      <c r="BN9" s="199"/>
      <c r="BO9" s="199"/>
      <c r="BP9" s="199"/>
    </row>
    <row r="10" spans="2:68" s="52" customFormat="1" ht="11.25">
      <c r="B10" s="183">
        <v>4</v>
      </c>
      <c r="C10" s="184" t="s">
        <v>1886</v>
      </c>
      <c r="D10" s="185">
        <f t="shared" si="0"/>
        <v>7200061544</v>
      </c>
      <c r="E10" s="186">
        <v>1620996360</v>
      </c>
      <c r="F10" s="186">
        <v>0</v>
      </c>
      <c r="G10" s="186">
        <v>6889323</v>
      </c>
      <c r="H10" s="186">
        <v>84949679</v>
      </c>
      <c r="I10" s="186">
        <v>92400000</v>
      </c>
      <c r="J10" s="186">
        <v>0</v>
      </c>
      <c r="K10" s="186">
        <v>0</v>
      </c>
      <c r="L10" s="186">
        <v>0</v>
      </c>
      <c r="M10" s="186">
        <v>0</v>
      </c>
      <c r="N10" s="186">
        <v>0</v>
      </c>
      <c r="O10" s="186">
        <v>32085000</v>
      </c>
      <c r="P10" s="186">
        <v>0</v>
      </c>
      <c r="Q10" s="186">
        <v>0</v>
      </c>
      <c r="R10" s="186">
        <v>0</v>
      </c>
      <c r="S10" s="186">
        <v>0</v>
      </c>
      <c r="T10" s="186">
        <v>0</v>
      </c>
      <c r="U10" s="186">
        <v>0</v>
      </c>
      <c r="V10" s="186">
        <v>0</v>
      </c>
      <c r="W10" s="186">
        <v>3794271</v>
      </c>
      <c r="X10" s="186">
        <v>0</v>
      </c>
      <c r="Y10" s="186">
        <v>32000000</v>
      </c>
      <c r="Z10" s="186">
        <v>0</v>
      </c>
      <c r="AA10" s="186">
        <v>0</v>
      </c>
      <c r="AB10" s="186">
        <v>0</v>
      </c>
      <c r="AC10" s="186">
        <v>0</v>
      </c>
      <c r="AD10" s="186">
        <v>0</v>
      </c>
      <c r="AE10" s="186">
        <v>0</v>
      </c>
      <c r="AF10" s="186">
        <v>0</v>
      </c>
      <c r="AG10" s="186">
        <v>0</v>
      </c>
      <c r="AH10" s="186">
        <v>13750000</v>
      </c>
      <c r="AI10" s="186">
        <v>1543478338</v>
      </c>
      <c r="AJ10" s="186">
        <v>6000000</v>
      </c>
      <c r="AK10" s="186">
        <v>0</v>
      </c>
      <c r="AL10" s="186">
        <v>3762937323</v>
      </c>
      <c r="AM10" s="186">
        <v>781250</v>
      </c>
      <c r="AN10" s="200"/>
      <c r="AO10" s="199"/>
      <c r="AP10" s="199"/>
      <c r="AQ10" s="199"/>
      <c r="AR10" s="199"/>
      <c r="AS10" s="199"/>
      <c r="AT10" s="199"/>
      <c r="AU10" s="199"/>
      <c r="AV10" s="199"/>
      <c r="AW10" s="199"/>
      <c r="AX10" s="199"/>
      <c r="AY10" s="199"/>
      <c r="AZ10" s="199"/>
      <c r="BA10" s="199"/>
      <c r="BB10" s="199"/>
      <c r="BC10" s="199"/>
      <c r="BD10" s="199"/>
      <c r="BE10" s="199"/>
      <c r="BF10" s="199"/>
      <c r="BG10" s="199"/>
      <c r="BH10" s="199"/>
      <c r="BI10" s="199"/>
      <c r="BJ10" s="199"/>
      <c r="BK10" s="199"/>
      <c r="BL10" s="199"/>
      <c r="BM10" s="199"/>
      <c r="BN10" s="199"/>
      <c r="BO10" s="199"/>
      <c r="BP10" s="199"/>
    </row>
    <row r="11" spans="2:68" s="52" customFormat="1" ht="11.25">
      <c r="B11" s="183">
        <v>5</v>
      </c>
      <c r="C11" s="184" t="s">
        <v>1887</v>
      </c>
      <c r="D11" s="185">
        <f t="shared" si="0"/>
        <v>227961812664</v>
      </c>
      <c r="E11" s="186">
        <v>60849663789</v>
      </c>
      <c r="F11" s="186">
        <v>2192354173</v>
      </c>
      <c r="G11" s="186">
        <v>33340846033</v>
      </c>
      <c r="H11" s="186">
        <v>2978497957</v>
      </c>
      <c r="I11" s="186">
        <v>4451013421</v>
      </c>
      <c r="J11" s="186">
        <v>170214486</v>
      </c>
      <c r="K11" s="186">
        <v>2990705564</v>
      </c>
      <c r="L11" s="186">
        <v>1719427012</v>
      </c>
      <c r="M11" s="186">
        <v>2676207696</v>
      </c>
      <c r="N11" s="186">
        <v>823925277</v>
      </c>
      <c r="O11" s="186">
        <v>1977194228</v>
      </c>
      <c r="P11" s="186">
        <v>1542161794</v>
      </c>
      <c r="Q11" s="186">
        <v>3354190760</v>
      </c>
      <c r="R11" s="186">
        <v>2090232147</v>
      </c>
      <c r="S11" s="186">
        <v>1380175110</v>
      </c>
      <c r="T11" s="186">
        <v>2136520779</v>
      </c>
      <c r="U11" s="186">
        <v>1536512845</v>
      </c>
      <c r="V11" s="186">
        <v>1094161236</v>
      </c>
      <c r="W11" s="186">
        <v>1226073141</v>
      </c>
      <c r="X11" s="186">
        <v>0</v>
      </c>
      <c r="Y11" s="186">
        <v>28766374969</v>
      </c>
      <c r="Z11" s="186">
        <v>8495368445</v>
      </c>
      <c r="AA11" s="186">
        <v>19443135688</v>
      </c>
      <c r="AB11" s="186">
        <v>2168014780</v>
      </c>
      <c r="AC11" s="186">
        <v>1583894760</v>
      </c>
      <c r="AD11" s="186">
        <v>9274070263</v>
      </c>
      <c r="AE11" s="186">
        <v>702036411</v>
      </c>
      <c r="AF11" s="186">
        <v>828573596</v>
      </c>
      <c r="AG11" s="186">
        <v>8358477292</v>
      </c>
      <c r="AH11" s="186">
        <v>1586700648</v>
      </c>
      <c r="AI11" s="186">
        <v>4319979063</v>
      </c>
      <c r="AJ11" s="186">
        <v>3573168528</v>
      </c>
      <c r="AK11" s="186">
        <v>2789931922</v>
      </c>
      <c r="AL11" s="186">
        <v>5626276185</v>
      </c>
      <c r="AM11" s="186">
        <v>1915732666</v>
      </c>
      <c r="AN11" s="200"/>
      <c r="AO11" s="199"/>
      <c r="AP11" s="199"/>
      <c r="AQ11" s="199"/>
      <c r="AR11" s="199"/>
      <c r="AS11" s="199"/>
      <c r="AT11" s="199"/>
      <c r="AU11" s="199"/>
      <c r="AV11" s="199"/>
      <c r="AW11" s="199"/>
      <c r="AX11" s="199"/>
      <c r="AY11" s="199"/>
      <c r="AZ11" s="199"/>
      <c r="BA11" s="199"/>
      <c r="BB11" s="199"/>
      <c r="BC11" s="199"/>
      <c r="BD11" s="199"/>
      <c r="BE11" s="199"/>
      <c r="BF11" s="199"/>
      <c r="BG11" s="199"/>
      <c r="BH11" s="199"/>
      <c r="BI11" s="199"/>
      <c r="BJ11" s="199"/>
      <c r="BK11" s="199"/>
      <c r="BL11" s="199"/>
      <c r="BM11" s="199"/>
      <c r="BN11" s="199"/>
      <c r="BO11" s="199"/>
      <c r="BP11" s="199"/>
    </row>
    <row r="12" spans="2:68" s="52" customFormat="1" ht="11.25">
      <c r="B12" s="183">
        <v>6</v>
      </c>
      <c r="C12" s="184" t="s">
        <v>1888</v>
      </c>
      <c r="D12" s="185">
        <f t="shared" si="0"/>
        <v>21959610827</v>
      </c>
      <c r="E12" s="186">
        <v>5628071600</v>
      </c>
      <c r="F12" s="186">
        <v>215451466</v>
      </c>
      <c r="G12" s="186">
        <v>2033536172</v>
      </c>
      <c r="H12" s="186">
        <v>177236609</v>
      </c>
      <c r="I12" s="186">
        <v>264878233</v>
      </c>
      <c r="J12" s="186">
        <v>12435833</v>
      </c>
      <c r="K12" s="186">
        <v>333313915</v>
      </c>
      <c r="L12" s="186">
        <v>689128400</v>
      </c>
      <c r="M12" s="186">
        <v>321269083</v>
      </c>
      <c r="N12" s="186">
        <v>34185834</v>
      </c>
      <c r="O12" s="186">
        <v>1753850116</v>
      </c>
      <c r="P12" s="186">
        <v>170474034</v>
      </c>
      <c r="Q12" s="186">
        <v>199021416</v>
      </c>
      <c r="R12" s="186">
        <v>68380905</v>
      </c>
      <c r="S12" s="186">
        <v>147317733</v>
      </c>
      <c r="T12" s="186">
        <v>248184600</v>
      </c>
      <c r="U12" s="186">
        <v>158438334</v>
      </c>
      <c r="V12" s="186">
        <v>59745000</v>
      </c>
      <c r="W12" s="186">
        <v>190746779</v>
      </c>
      <c r="X12" s="186">
        <v>0</v>
      </c>
      <c r="Y12" s="186">
        <v>1664488539</v>
      </c>
      <c r="Z12" s="186">
        <v>401288789</v>
      </c>
      <c r="AA12" s="186">
        <v>569085478</v>
      </c>
      <c r="AB12" s="186">
        <v>213613233</v>
      </c>
      <c r="AC12" s="186">
        <v>148116630</v>
      </c>
      <c r="AD12" s="186">
        <v>555887966</v>
      </c>
      <c r="AE12" s="186">
        <v>75006928</v>
      </c>
      <c r="AF12" s="186">
        <v>22497000</v>
      </c>
      <c r="AG12" s="186">
        <v>3757354635</v>
      </c>
      <c r="AH12" s="186">
        <v>140455245</v>
      </c>
      <c r="AI12" s="186">
        <v>401235551</v>
      </c>
      <c r="AJ12" s="186">
        <v>402548245</v>
      </c>
      <c r="AK12" s="186">
        <v>160595691</v>
      </c>
      <c r="AL12" s="186">
        <v>641443361</v>
      </c>
      <c r="AM12" s="186">
        <v>100327474</v>
      </c>
      <c r="AN12" s="200"/>
      <c r="AO12" s="199"/>
      <c r="AP12" s="199"/>
      <c r="AQ12" s="199"/>
      <c r="AR12" s="199"/>
      <c r="AS12" s="199"/>
      <c r="AT12" s="199"/>
      <c r="AU12" s="199"/>
      <c r="AV12" s="199"/>
      <c r="AW12" s="199"/>
      <c r="AX12" s="199"/>
      <c r="AY12" s="199"/>
      <c r="AZ12" s="199"/>
      <c r="BA12" s="199"/>
      <c r="BB12" s="199"/>
      <c r="BC12" s="199"/>
      <c r="BD12" s="199"/>
      <c r="BE12" s="199"/>
      <c r="BF12" s="199"/>
      <c r="BG12" s="199"/>
      <c r="BH12" s="199"/>
      <c r="BI12" s="199"/>
      <c r="BJ12" s="199"/>
      <c r="BK12" s="199"/>
      <c r="BL12" s="199"/>
      <c r="BM12" s="199"/>
      <c r="BN12" s="199"/>
      <c r="BO12" s="199"/>
      <c r="BP12" s="199"/>
    </row>
    <row r="13" spans="2:68" s="52" customFormat="1" ht="11.25">
      <c r="B13" s="183">
        <v>7</v>
      </c>
      <c r="C13" s="184" t="s">
        <v>1889</v>
      </c>
      <c r="D13" s="185">
        <f t="shared" si="0"/>
        <v>124283012589</v>
      </c>
      <c r="E13" s="186">
        <v>437458991</v>
      </c>
      <c r="F13" s="186">
        <v>451369692</v>
      </c>
      <c r="G13" s="186">
        <v>115983700344</v>
      </c>
      <c r="H13" s="186">
        <v>5307972220</v>
      </c>
      <c r="I13" s="186">
        <v>0</v>
      </c>
      <c r="J13" s="186">
        <v>0</v>
      </c>
      <c r="K13" s="186">
        <v>0</v>
      </c>
      <c r="L13" s="186">
        <v>1195245323</v>
      </c>
      <c r="M13" s="186">
        <v>0</v>
      </c>
      <c r="N13" s="186">
        <v>0</v>
      </c>
      <c r="O13" s="186">
        <v>0</v>
      </c>
      <c r="P13" s="186">
        <v>24825833</v>
      </c>
      <c r="Q13" s="186">
        <v>403534120</v>
      </c>
      <c r="R13" s="186">
        <v>0</v>
      </c>
      <c r="S13" s="186">
        <v>0</v>
      </c>
      <c r="T13" s="186">
        <v>0</v>
      </c>
      <c r="U13" s="186">
        <v>0</v>
      </c>
      <c r="V13" s="186">
        <v>0</v>
      </c>
      <c r="W13" s="186">
        <v>0</v>
      </c>
      <c r="X13" s="186">
        <v>0</v>
      </c>
      <c r="Y13" s="186">
        <v>185628750</v>
      </c>
      <c r="Z13" s="186">
        <v>0</v>
      </c>
      <c r="AA13" s="186">
        <v>0</v>
      </c>
      <c r="AB13" s="186">
        <v>0</v>
      </c>
      <c r="AC13" s="186">
        <v>0</v>
      </c>
      <c r="AD13" s="186">
        <v>106605750</v>
      </c>
      <c r="AE13" s="186">
        <v>0</v>
      </c>
      <c r="AF13" s="186">
        <v>0</v>
      </c>
      <c r="AG13" s="186">
        <v>0</v>
      </c>
      <c r="AH13" s="186">
        <v>0</v>
      </c>
      <c r="AI13" s="186">
        <v>101215733</v>
      </c>
      <c r="AJ13" s="186">
        <v>0</v>
      </c>
      <c r="AK13" s="186">
        <v>0</v>
      </c>
      <c r="AL13" s="186">
        <v>15789167</v>
      </c>
      <c r="AM13" s="186">
        <v>69666666</v>
      </c>
      <c r="AN13" s="200"/>
      <c r="AO13" s="199"/>
      <c r="AP13" s="199"/>
      <c r="AQ13" s="199"/>
      <c r="AR13" s="199"/>
      <c r="AS13" s="199"/>
      <c r="AT13" s="199"/>
      <c r="AU13" s="199"/>
      <c r="AV13" s="199"/>
      <c r="AW13" s="199"/>
      <c r="AX13" s="199"/>
      <c r="AY13" s="199"/>
      <c r="AZ13" s="199"/>
      <c r="BA13" s="199"/>
      <c r="BB13" s="199"/>
      <c r="BC13" s="199"/>
      <c r="BD13" s="199"/>
      <c r="BE13" s="199"/>
      <c r="BF13" s="199"/>
      <c r="BG13" s="199"/>
      <c r="BH13" s="199"/>
      <c r="BI13" s="199"/>
      <c r="BJ13" s="199"/>
      <c r="BK13" s="199"/>
      <c r="BL13" s="199"/>
      <c r="BM13" s="199"/>
      <c r="BN13" s="199"/>
      <c r="BO13" s="199"/>
      <c r="BP13" s="199"/>
    </row>
    <row r="14" spans="2:68" s="52" customFormat="1" ht="11.25">
      <c r="B14" s="183">
        <v>8</v>
      </c>
      <c r="C14" s="184" t="s">
        <v>1890</v>
      </c>
      <c r="D14" s="185">
        <f t="shared" si="0"/>
        <v>33875819116</v>
      </c>
      <c r="E14" s="186">
        <v>12847017066</v>
      </c>
      <c r="F14" s="186">
        <v>1981383828</v>
      </c>
      <c r="G14" s="186">
        <v>6809467842</v>
      </c>
      <c r="H14" s="186">
        <v>246205227</v>
      </c>
      <c r="I14" s="186">
        <v>1485248832</v>
      </c>
      <c r="J14" s="186">
        <v>0</v>
      </c>
      <c r="K14" s="186">
        <v>0</v>
      </c>
      <c r="L14" s="186">
        <v>16422760</v>
      </c>
      <c r="M14" s="186">
        <v>1353911756</v>
      </c>
      <c r="N14" s="186">
        <v>0</v>
      </c>
      <c r="O14" s="186">
        <v>997341195</v>
      </c>
      <c r="P14" s="186">
        <v>49593645</v>
      </c>
      <c r="Q14" s="186">
        <v>1915000140</v>
      </c>
      <c r="R14" s="186">
        <v>0</v>
      </c>
      <c r="S14" s="186">
        <v>0</v>
      </c>
      <c r="T14" s="186">
        <v>1196428</v>
      </c>
      <c r="U14" s="186">
        <v>0</v>
      </c>
      <c r="V14" s="186">
        <v>0</v>
      </c>
      <c r="W14" s="186">
        <v>587812</v>
      </c>
      <c r="X14" s="186">
        <v>0</v>
      </c>
      <c r="Y14" s="186">
        <v>45622041</v>
      </c>
      <c r="Z14" s="186">
        <v>30552300</v>
      </c>
      <c r="AA14" s="186">
        <v>0</v>
      </c>
      <c r="AB14" s="186">
        <v>0</v>
      </c>
      <c r="AC14" s="186">
        <v>4320283</v>
      </c>
      <c r="AD14" s="186">
        <v>0</v>
      </c>
      <c r="AE14" s="186">
        <v>0</v>
      </c>
      <c r="AF14" s="186">
        <v>38082638</v>
      </c>
      <c r="AG14" s="186">
        <v>0</v>
      </c>
      <c r="AH14" s="186">
        <v>19575417</v>
      </c>
      <c r="AI14" s="186">
        <v>1375728234</v>
      </c>
      <c r="AJ14" s="186">
        <v>84765520</v>
      </c>
      <c r="AK14" s="186">
        <v>291989516</v>
      </c>
      <c r="AL14" s="186">
        <v>2098627295</v>
      </c>
      <c r="AM14" s="186">
        <v>2183179341</v>
      </c>
      <c r="AN14" s="200"/>
    </row>
    <row r="15" spans="2:68" s="52" customFormat="1" ht="11.25">
      <c r="B15" s="183">
        <v>9</v>
      </c>
      <c r="C15" s="184" t="s">
        <v>1891</v>
      </c>
      <c r="D15" s="185">
        <f t="shared" si="0"/>
        <v>2001900701</v>
      </c>
      <c r="E15" s="186">
        <v>118307539</v>
      </c>
      <c r="F15" s="186">
        <v>47795001</v>
      </c>
      <c r="G15" s="186">
        <v>36708340</v>
      </c>
      <c r="H15" s="186">
        <v>84306333</v>
      </c>
      <c r="I15" s="186">
        <v>2536667</v>
      </c>
      <c r="J15" s="186">
        <v>1483333</v>
      </c>
      <c r="K15" s="186">
        <v>11273750</v>
      </c>
      <c r="L15" s="186">
        <v>32240424</v>
      </c>
      <c r="M15" s="186">
        <v>0</v>
      </c>
      <c r="N15" s="186">
        <v>0</v>
      </c>
      <c r="O15" s="186">
        <v>47291546</v>
      </c>
      <c r="P15" s="186">
        <v>12781667</v>
      </c>
      <c r="Q15" s="186">
        <v>54175002</v>
      </c>
      <c r="R15" s="186">
        <v>6600000</v>
      </c>
      <c r="S15" s="186">
        <v>0</v>
      </c>
      <c r="T15" s="186">
        <v>31983333</v>
      </c>
      <c r="U15" s="186">
        <v>12800000</v>
      </c>
      <c r="V15" s="186">
        <v>0</v>
      </c>
      <c r="W15" s="186">
        <v>37229167</v>
      </c>
      <c r="X15" s="186">
        <v>0</v>
      </c>
      <c r="Y15" s="186">
        <v>144642467</v>
      </c>
      <c r="Z15" s="186">
        <v>310750000</v>
      </c>
      <c r="AA15" s="186">
        <v>286059102</v>
      </c>
      <c r="AB15" s="186">
        <v>14500000</v>
      </c>
      <c r="AC15" s="186">
        <v>48565000</v>
      </c>
      <c r="AD15" s="186">
        <v>50600000</v>
      </c>
      <c r="AE15" s="186">
        <v>0</v>
      </c>
      <c r="AF15" s="186">
        <v>0</v>
      </c>
      <c r="AG15" s="186">
        <v>0</v>
      </c>
      <c r="AH15" s="186">
        <v>7900000</v>
      </c>
      <c r="AI15" s="186">
        <v>48600000</v>
      </c>
      <c r="AJ15" s="186">
        <v>276845854</v>
      </c>
      <c r="AK15" s="186">
        <v>83090001</v>
      </c>
      <c r="AL15" s="186">
        <v>192587842</v>
      </c>
      <c r="AM15" s="186">
        <v>248333</v>
      </c>
      <c r="AN15" s="200"/>
    </row>
    <row r="16" spans="2:68" s="52" customFormat="1" ht="11.25">
      <c r="B16" s="183">
        <v>10</v>
      </c>
      <c r="C16" s="184" t="s">
        <v>1892</v>
      </c>
      <c r="D16" s="185">
        <f t="shared" si="0"/>
        <v>192007480995</v>
      </c>
      <c r="E16" s="186">
        <v>78245168127</v>
      </c>
      <c r="F16" s="186">
        <v>874253448</v>
      </c>
      <c r="G16" s="186">
        <v>14740838230</v>
      </c>
      <c r="H16" s="186">
        <v>939744401</v>
      </c>
      <c r="I16" s="186">
        <v>21787507709</v>
      </c>
      <c r="J16" s="186">
        <v>326157050</v>
      </c>
      <c r="K16" s="186">
        <v>1566667798</v>
      </c>
      <c r="L16" s="186">
        <v>2192758565</v>
      </c>
      <c r="M16" s="186">
        <v>929626801</v>
      </c>
      <c r="N16" s="186">
        <v>769425631</v>
      </c>
      <c r="O16" s="186">
        <v>564979852</v>
      </c>
      <c r="P16" s="186">
        <v>1401223171</v>
      </c>
      <c r="Q16" s="186">
        <v>4930318751</v>
      </c>
      <c r="R16" s="186">
        <v>990621523</v>
      </c>
      <c r="S16" s="186">
        <v>639859081</v>
      </c>
      <c r="T16" s="186">
        <v>803277347</v>
      </c>
      <c r="U16" s="186">
        <v>9921933680</v>
      </c>
      <c r="V16" s="186">
        <v>661548122</v>
      </c>
      <c r="W16" s="186">
        <v>0</v>
      </c>
      <c r="X16" s="186">
        <v>0</v>
      </c>
      <c r="Y16" s="186">
        <v>17136335023</v>
      </c>
      <c r="Z16" s="186">
        <v>7378671696</v>
      </c>
      <c r="AA16" s="186">
        <v>5747864165</v>
      </c>
      <c r="AB16" s="186">
        <v>785290590</v>
      </c>
      <c r="AC16" s="186">
        <v>296400050</v>
      </c>
      <c r="AD16" s="197">
        <v>4006656743</v>
      </c>
      <c r="AE16" s="186">
        <v>0</v>
      </c>
      <c r="AF16" s="186">
        <v>427823026</v>
      </c>
      <c r="AG16" s="186">
        <v>537622529</v>
      </c>
      <c r="AH16" s="186">
        <v>49434122</v>
      </c>
      <c r="AI16" s="186">
        <v>2813874620</v>
      </c>
      <c r="AJ16" s="186">
        <v>654029957</v>
      </c>
      <c r="AK16" s="186">
        <v>727803642</v>
      </c>
      <c r="AL16" s="186">
        <v>8393047744</v>
      </c>
      <c r="AM16" s="186">
        <v>766717801</v>
      </c>
      <c r="AN16" s="200"/>
    </row>
    <row r="17" spans="2:40" s="52" customFormat="1" ht="11.25">
      <c r="B17" s="183">
        <v>11</v>
      </c>
      <c r="C17" s="184" t="s">
        <v>1893</v>
      </c>
      <c r="D17" s="185">
        <f t="shared" si="0"/>
        <v>15985839156</v>
      </c>
      <c r="E17" s="186">
        <v>26943157</v>
      </c>
      <c r="F17" s="186">
        <v>0</v>
      </c>
      <c r="G17" s="186">
        <v>0</v>
      </c>
      <c r="H17" s="186">
        <v>0</v>
      </c>
      <c r="I17" s="186">
        <v>2703278802</v>
      </c>
      <c r="J17" s="186">
        <v>0</v>
      </c>
      <c r="K17" s="186">
        <v>0</v>
      </c>
      <c r="L17" s="186">
        <v>12436021856</v>
      </c>
      <c r="M17" s="186">
        <v>0</v>
      </c>
      <c r="N17" s="186">
        <v>0</v>
      </c>
      <c r="O17" s="186">
        <v>0</v>
      </c>
      <c r="P17" s="186">
        <v>77939941</v>
      </c>
      <c r="Q17" s="186">
        <v>8125000</v>
      </c>
      <c r="R17" s="186">
        <v>0</v>
      </c>
      <c r="S17" s="186">
        <v>0</v>
      </c>
      <c r="T17" s="186">
        <v>0</v>
      </c>
      <c r="U17" s="186">
        <v>86100000</v>
      </c>
      <c r="V17" s="186">
        <v>0</v>
      </c>
      <c r="W17" s="186">
        <v>0</v>
      </c>
      <c r="X17" s="186">
        <v>0</v>
      </c>
      <c r="Y17" s="186">
        <v>0</v>
      </c>
      <c r="Z17" s="186">
        <v>154000</v>
      </c>
      <c r="AA17" s="186">
        <v>0</v>
      </c>
      <c r="AB17" s="186">
        <v>0</v>
      </c>
      <c r="AC17" s="186">
        <v>580091427</v>
      </c>
      <c r="AD17" s="186">
        <v>0</v>
      </c>
      <c r="AE17" s="186">
        <v>0</v>
      </c>
      <c r="AF17" s="186">
        <v>0</v>
      </c>
      <c r="AG17" s="186">
        <v>0</v>
      </c>
      <c r="AH17" s="186">
        <v>0</v>
      </c>
      <c r="AI17" s="186">
        <v>8041660</v>
      </c>
      <c r="AJ17" s="186">
        <v>36599520</v>
      </c>
      <c r="AK17" s="186">
        <v>0</v>
      </c>
      <c r="AL17" s="186">
        <v>22543793</v>
      </c>
      <c r="AM17" s="186">
        <v>0</v>
      </c>
      <c r="AN17" s="200"/>
    </row>
    <row r="18" spans="2:40" s="52" customFormat="1" ht="11.25">
      <c r="B18" s="183">
        <v>12</v>
      </c>
      <c r="C18" s="184" t="s">
        <v>1894</v>
      </c>
      <c r="D18" s="185">
        <f t="shared" si="0"/>
        <v>954324496558</v>
      </c>
      <c r="E18" s="186">
        <v>367601053</v>
      </c>
      <c r="F18" s="186">
        <v>0</v>
      </c>
      <c r="G18" s="186">
        <v>21534283917</v>
      </c>
      <c r="H18" s="186">
        <v>0</v>
      </c>
      <c r="I18" s="186">
        <v>890094249864</v>
      </c>
      <c r="J18" s="186">
        <v>0</v>
      </c>
      <c r="K18" s="186">
        <v>10054550</v>
      </c>
      <c r="L18" s="186">
        <v>35576015352</v>
      </c>
      <c r="M18" s="186">
        <v>0</v>
      </c>
      <c r="N18" s="186">
        <v>0</v>
      </c>
      <c r="O18" s="186">
        <v>193537584</v>
      </c>
      <c r="P18" s="186">
        <v>0</v>
      </c>
      <c r="Q18" s="186">
        <v>488451667</v>
      </c>
      <c r="R18" s="186">
        <v>0</v>
      </c>
      <c r="S18" s="186">
        <v>0</v>
      </c>
      <c r="T18" s="186">
        <v>0</v>
      </c>
      <c r="U18" s="186">
        <v>0</v>
      </c>
      <c r="V18" s="186">
        <v>0</v>
      </c>
      <c r="W18" s="186">
        <v>0</v>
      </c>
      <c r="X18" s="186">
        <v>0</v>
      </c>
      <c r="Y18" s="186">
        <v>297305331</v>
      </c>
      <c r="Z18" s="186">
        <v>0</v>
      </c>
      <c r="AA18" s="186">
        <v>19884332</v>
      </c>
      <c r="AB18" s="186">
        <v>0</v>
      </c>
      <c r="AC18" s="186">
        <v>0</v>
      </c>
      <c r="AD18" s="186">
        <v>0</v>
      </c>
      <c r="AE18" s="186">
        <v>0</v>
      </c>
      <c r="AF18" s="186">
        <v>0</v>
      </c>
      <c r="AG18" s="186">
        <v>0</v>
      </c>
      <c r="AH18" s="186">
        <v>0</v>
      </c>
      <c r="AI18" s="186">
        <v>1277896704</v>
      </c>
      <c r="AJ18" s="186">
        <v>1769728</v>
      </c>
      <c r="AK18" s="186">
        <v>0</v>
      </c>
      <c r="AL18" s="186">
        <v>4463446476</v>
      </c>
      <c r="AM18" s="186">
        <v>0</v>
      </c>
      <c r="AN18" s="200"/>
    </row>
    <row r="19" spans="2:40" s="52" customFormat="1" ht="11.25">
      <c r="B19" s="183">
        <v>13</v>
      </c>
      <c r="C19" s="184" t="s">
        <v>1895</v>
      </c>
      <c r="D19" s="185">
        <f t="shared" si="0"/>
        <v>74608819497</v>
      </c>
      <c r="E19" s="186">
        <v>753295240</v>
      </c>
      <c r="F19" s="186">
        <v>11836708</v>
      </c>
      <c r="G19" s="186">
        <v>0</v>
      </c>
      <c r="H19" s="186">
        <v>346433851</v>
      </c>
      <c r="I19" s="186">
        <v>57004463560</v>
      </c>
      <c r="J19" s="186">
        <v>239693984</v>
      </c>
      <c r="K19" s="186">
        <v>0</v>
      </c>
      <c r="L19" s="186">
        <v>143141537</v>
      </c>
      <c r="M19" s="186">
        <v>0</v>
      </c>
      <c r="N19" s="186">
        <v>0</v>
      </c>
      <c r="O19" s="186">
        <v>76757</v>
      </c>
      <c r="P19" s="186">
        <v>73093521</v>
      </c>
      <c r="Q19" s="186">
        <v>41951000</v>
      </c>
      <c r="R19" s="186">
        <v>36725000</v>
      </c>
      <c r="S19" s="186">
        <v>0</v>
      </c>
      <c r="T19" s="186">
        <v>0</v>
      </c>
      <c r="U19" s="186">
        <v>12342419</v>
      </c>
      <c r="V19" s="186">
        <v>0</v>
      </c>
      <c r="W19" s="186">
        <v>0</v>
      </c>
      <c r="X19" s="186">
        <v>0</v>
      </c>
      <c r="Y19" s="186">
        <v>6906779</v>
      </c>
      <c r="Z19" s="186">
        <v>36718333</v>
      </c>
      <c r="AA19" s="186">
        <v>0</v>
      </c>
      <c r="AB19" s="186">
        <v>0</v>
      </c>
      <c r="AC19" s="186">
        <v>0</v>
      </c>
      <c r="AD19" s="186">
        <v>15992834</v>
      </c>
      <c r="AE19" s="186">
        <v>0</v>
      </c>
      <c r="AF19" s="186">
        <v>0</v>
      </c>
      <c r="AG19" s="186">
        <v>12283333</v>
      </c>
      <c r="AH19" s="186">
        <v>0</v>
      </c>
      <c r="AI19" s="186">
        <v>188099777</v>
      </c>
      <c r="AJ19" s="186">
        <v>1476383</v>
      </c>
      <c r="AK19" s="186">
        <v>0</v>
      </c>
      <c r="AL19" s="186">
        <v>15684288481</v>
      </c>
      <c r="AM19" s="186">
        <v>0</v>
      </c>
      <c r="AN19" s="200"/>
    </row>
    <row r="20" spans="2:40" s="52" customFormat="1" ht="11.25">
      <c r="B20" s="183">
        <v>14</v>
      </c>
      <c r="C20" s="184" t="s">
        <v>1896</v>
      </c>
      <c r="D20" s="185">
        <f t="shared" si="0"/>
        <v>13199888078</v>
      </c>
      <c r="E20" s="186">
        <v>594698759</v>
      </c>
      <c r="F20" s="186">
        <v>19375030</v>
      </c>
      <c r="G20" s="186">
        <v>2047342806</v>
      </c>
      <c r="H20" s="186">
        <v>47026881</v>
      </c>
      <c r="I20" s="186">
        <v>342696396</v>
      </c>
      <c r="J20" s="186">
        <v>0</v>
      </c>
      <c r="K20" s="186">
        <v>0</v>
      </c>
      <c r="L20" s="186">
        <v>1882518</v>
      </c>
      <c r="M20" s="186">
        <v>0</v>
      </c>
      <c r="N20" s="186">
        <v>0</v>
      </c>
      <c r="O20" s="186">
        <v>28111067</v>
      </c>
      <c r="P20" s="186">
        <v>12036711</v>
      </c>
      <c r="Q20" s="186">
        <v>24565208</v>
      </c>
      <c r="R20" s="186">
        <v>23570656</v>
      </c>
      <c r="S20" s="186">
        <v>12043053</v>
      </c>
      <c r="T20" s="186">
        <v>0</v>
      </c>
      <c r="U20" s="186">
        <v>19178025</v>
      </c>
      <c r="V20" s="186">
        <v>0</v>
      </c>
      <c r="W20" s="186">
        <v>0</v>
      </c>
      <c r="X20" s="186">
        <v>0</v>
      </c>
      <c r="Y20" s="186">
        <v>1692033769</v>
      </c>
      <c r="Z20" s="186">
        <v>5711338</v>
      </c>
      <c r="AA20" s="186">
        <v>245268093</v>
      </c>
      <c r="AB20" s="186">
        <v>0</v>
      </c>
      <c r="AC20" s="186">
        <v>5419792</v>
      </c>
      <c r="AD20" s="186">
        <v>116587616</v>
      </c>
      <c r="AE20" s="186">
        <v>0</v>
      </c>
      <c r="AF20" s="186">
        <v>0</v>
      </c>
      <c r="AG20" s="186">
        <v>2995833</v>
      </c>
      <c r="AH20" s="186">
        <v>1258642</v>
      </c>
      <c r="AI20" s="186">
        <v>179828729</v>
      </c>
      <c r="AJ20" s="186">
        <v>1507957</v>
      </c>
      <c r="AK20" s="186">
        <v>7477090650</v>
      </c>
      <c r="AL20" s="201">
        <v>271462997</v>
      </c>
      <c r="AM20" s="186">
        <v>28195552</v>
      </c>
      <c r="AN20" s="200"/>
    </row>
    <row r="21" spans="2:40" s="52" customFormat="1" ht="11.25">
      <c r="B21" s="183">
        <v>15</v>
      </c>
      <c r="C21" s="184" t="s">
        <v>1897</v>
      </c>
      <c r="D21" s="185">
        <f t="shared" si="0"/>
        <v>13114144342</v>
      </c>
      <c r="E21" s="186">
        <v>537126868</v>
      </c>
      <c r="F21" s="186">
        <v>16771951</v>
      </c>
      <c r="G21" s="186">
        <v>685092696</v>
      </c>
      <c r="H21" s="186">
        <v>88606862</v>
      </c>
      <c r="I21" s="186">
        <v>7693767150</v>
      </c>
      <c r="J21" s="186">
        <v>50000</v>
      </c>
      <c r="K21" s="186">
        <v>2803239411</v>
      </c>
      <c r="L21" s="186">
        <v>9017188</v>
      </c>
      <c r="M21" s="186">
        <v>27594712</v>
      </c>
      <c r="N21" s="186">
        <v>0</v>
      </c>
      <c r="O21" s="186">
        <v>16054700</v>
      </c>
      <c r="P21" s="186">
        <v>0</v>
      </c>
      <c r="Q21" s="186">
        <v>77857097</v>
      </c>
      <c r="R21" s="186">
        <v>2723375</v>
      </c>
      <c r="S21" s="186">
        <v>9137934</v>
      </c>
      <c r="T21" s="186">
        <v>16371781</v>
      </c>
      <c r="U21" s="186">
        <v>9083333</v>
      </c>
      <c r="V21" s="186">
        <v>0</v>
      </c>
      <c r="W21" s="186">
        <v>0</v>
      </c>
      <c r="X21" s="186">
        <v>0</v>
      </c>
      <c r="Y21" s="186">
        <v>426086441</v>
      </c>
      <c r="Z21" s="186">
        <v>0</v>
      </c>
      <c r="AA21" s="186">
        <v>0</v>
      </c>
      <c r="AB21" s="186">
        <v>0</v>
      </c>
      <c r="AC21" s="186">
        <v>0</v>
      </c>
      <c r="AD21" s="186">
        <v>292886899</v>
      </c>
      <c r="AE21" s="186">
        <v>0</v>
      </c>
      <c r="AF21" s="186">
        <v>8065552</v>
      </c>
      <c r="AG21" s="186">
        <v>0</v>
      </c>
      <c r="AH21" s="186">
        <v>4867143</v>
      </c>
      <c r="AI21" s="186">
        <v>8621673</v>
      </c>
      <c r="AJ21" s="186">
        <v>1743396</v>
      </c>
      <c r="AK21" s="186">
        <v>13198043</v>
      </c>
      <c r="AL21" s="186">
        <v>366180137</v>
      </c>
      <c r="AM21" s="186">
        <v>0</v>
      </c>
      <c r="AN21" s="200"/>
    </row>
    <row r="22" spans="2:40" s="52" customFormat="1" ht="11.25">
      <c r="B22" s="183">
        <v>16</v>
      </c>
      <c r="C22" s="187" t="s">
        <v>1898</v>
      </c>
      <c r="D22" s="185">
        <f t="shared" si="0"/>
        <v>0</v>
      </c>
      <c r="E22" s="186">
        <v>0</v>
      </c>
      <c r="F22" s="186">
        <v>0</v>
      </c>
      <c r="G22" s="186">
        <v>0</v>
      </c>
      <c r="H22" s="186">
        <v>0</v>
      </c>
      <c r="I22" s="186">
        <v>0</v>
      </c>
      <c r="J22" s="186">
        <v>0</v>
      </c>
      <c r="K22" s="186">
        <v>0</v>
      </c>
      <c r="L22" s="186">
        <v>0</v>
      </c>
      <c r="M22" s="186">
        <v>0</v>
      </c>
      <c r="N22" s="186">
        <v>0</v>
      </c>
      <c r="O22" s="186">
        <v>0</v>
      </c>
      <c r="P22" s="186">
        <v>0</v>
      </c>
      <c r="Q22" s="186">
        <v>0</v>
      </c>
      <c r="R22" s="186">
        <v>0</v>
      </c>
      <c r="S22" s="186">
        <v>0</v>
      </c>
      <c r="T22" s="186">
        <v>0</v>
      </c>
      <c r="U22" s="186">
        <v>0</v>
      </c>
      <c r="V22" s="186">
        <v>0</v>
      </c>
      <c r="W22" s="186">
        <v>0</v>
      </c>
      <c r="X22" s="186">
        <v>0</v>
      </c>
      <c r="Y22" s="186">
        <v>0</v>
      </c>
      <c r="Z22" s="186">
        <v>0</v>
      </c>
      <c r="AA22" s="186">
        <v>0</v>
      </c>
      <c r="AB22" s="186">
        <v>0</v>
      </c>
      <c r="AC22" s="186">
        <v>0</v>
      </c>
      <c r="AD22" s="186">
        <v>0</v>
      </c>
      <c r="AE22" s="186">
        <v>0</v>
      </c>
      <c r="AF22" s="186">
        <v>0</v>
      </c>
      <c r="AG22" s="186">
        <v>0</v>
      </c>
      <c r="AH22" s="186">
        <v>0</v>
      </c>
      <c r="AI22" s="186">
        <v>0</v>
      </c>
      <c r="AJ22" s="186">
        <v>0</v>
      </c>
      <c r="AK22" s="186">
        <v>0</v>
      </c>
      <c r="AL22" s="186">
        <v>0</v>
      </c>
      <c r="AM22" s="186">
        <v>0</v>
      </c>
      <c r="AN22" s="200"/>
    </row>
    <row r="23" spans="2:40" s="52" customFormat="1" ht="11.25">
      <c r="B23" s="183">
        <v>17</v>
      </c>
      <c r="C23" s="187" t="s">
        <v>1899</v>
      </c>
      <c r="D23" s="185">
        <f t="shared" si="0"/>
        <v>7540000</v>
      </c>
      <c r="E23" s="186"/>
      <c r="F23" s="186"/>
      <c r="G23" s="186"/>
      <c r="H23" s="186"/>
      <c r="I23" s="186"/>
      <c r="J23" s="186"/>
      <c r="K23" s="186"/>
      <c r="L23" s="186"/>
      <c r="M23" s="186"/>
      <c r="N23" s="186"/>
      <c r="O23" s="186"/>
      <c r="P23" s="186">
        <v>7540000</v>
      </c>
      <c r="Q23" s="186"/>
      <c r="R23" s="186"/>
      <c r="S23" s="186"/>
      <c r="T23" s="186"/>
      <c r="U23" s="186"/>
      <c r="V23" s="186"/>
      <c r="W23" s="186"/>
      <c r="X23" s="186"/>
      <c r="Y23" s="186"/>
      <c r="Z23" s="186"/>
      <c r="AA23" s="186"/>
      <c r="AB23" s="186"/>
      <c r="AC23" s="186"/>
      <c r="AD23" s="186"/>
      <c r="AE23" s="186"/>
      <c r="AF23" s="186"/>
      <c r="AG23" s="186"/>
      <c r="AH23" s="186"/>
      <c r="AI23" s="186"/>
      <c r="AJ23" s="186"/>
      <c r="AK23" s="186"/>
      <c r="AL23" s="186"/>
      <c r="AM23" s="186"/>
      <c r="AN23" s="200"/>
    </row>
    <row r="24" spans="2:40">
      <c r="B24" s="188"/>
      <c r="C24" s="189"/>
      <c r="D24" s="189"/>
      <c r="E24" s="189"/>
      <c r="F24" s="189"/>
      <c r="G24" s="189"/>
      <c r="H24" s="189"/>
      <c r="I24" s="189"/>
      <c r="J24" s="189"/>
      <c r="K24" s="189"/>
      <c r="L24" s="189"/>
      <c r="M24" s="189"/>
      <c r="N24" s="189"/>
      <c r="O24" s="189"/>
      <c r="P24" s="189"/>
      <c r="Q24" s="189"/>
      <c r="R24" s="189"/>
      <c r="S24" s="189"/>
      <c r="T24" s="189"/>
      <c r="U24" s="189"/>
      <c r="V24" s="189"/>
      <c r="W24" s="189"/>
      <c r="X24" s="189"/>
      <c r="Y24" s="189"/>
      <c r="Z24" s="189"/>
      <c r="AA24" s="189"/>
      <c r="AB24" s="189"/>
      <c r="AC24" s="189"/>
      <c r="AD24" s="189"/>
      <c r="AE24" s="189"/>
      <c r="AF24" s="189"/>
      <c r="AG24" s="189"/>
      <c r="AH24" s="189"/>
      <c r="AI24" s="189"/>
      <c r="AJ24" s="189"/>
      <c r="AK24" s="189"/>
      <c r="AL24" s="189"/>
      <c r="AM24" s="189"/>
    </row>
    <row r="25" spans="2:40">
      <c r="B25" s="2136" t="s">
        <v>1900</v>
      </c>
      <c r="C25" s="2137"/>
      <c r="D25" s="190">
        <f>SUM(D7:D24)</f>
        <v>1805111609740</v>
      </c>
      <c r="E25" s="191">
        <f t="shared" ref="E25:AM25" si="1">SUM(E7:E24)</f>
        <v>170910816819</v>
      </c>
      <c r="F25" s="190">
        <f t="shared" si="1"/>
        <v>6443767364</v>
      </c>
      <c r="G25" s="190">
        <f t="shared" si="1"/>
        <v>201140424524</v>
      </c>
      <c r="H25" s="190">
        <f t="shared" si="1"/>
        <v>11287207810</v>
      </c>
      <c r="I25" s="190">
        <f t="shared" si="1"/>
        <v>999227458858</v>
      </c>
      <c r="J25" s="190">
        <f t="shared" si="1"/>
        <v>873764683</v>
      </c>
      <c r="K25" s="190">
        <f t="shared" si="1"/>
        <v>8701809512</v>
      </c>
      <c r="L25" s="190">
        <f t="shared" si="1"/>
        <v>55141830901</v>
      </c>
      <c r="M25" s="190">
        <f t="shared" si="1"/>
        <v>5909502999</v>
      </c>
      <c r="N25" s="190">
        <f t="shared" si="1"/>
        <v>2003362122</v>
      </c>
      <c r="O25" s="190">
        <f t="shared" si="1"/>
        <v>15707373872</v>
      </c>
      <c r="P25" s="190">
        <f t="shared" si="1"/>
        <v>4688841496</v>
      </c>
      <c r="Q25" s="190">
        <f t="shared" si="1"/>
        <v>17725809250</v>
      </c>
      <c r="R25" s="190">
        <f t="shared" si="1"/>
        <v>3590236205</v>
      </c>
      <c r="S25" s="190">
        <f t="shared" si="1"/>
        <v>2938370983</v>
      </c>
      <c r="T25" s="190">
        <f t="shared" si="1"/>
        <v>3447186506</v>
      </c>
      <c r="U25" s="190">
        <f t="shared" si="1"/>
        <v>12216751245</v>
      </c>
      <c r="V25" s="190">
        <f t="shared" si="1"/>
        <v>2144981240</v>
      </c>
      <c r="W25" s="190">
        <f t="shared" si="1"/>
        <v>3484693021</v>
      </c>
      <c r="X25" s="190">
        <f t="shared" si="1"/>
        <v>0</v>
      </c>
      <c r="Y25" s="190">
        <f t="shared" si="1"/>
        <v>76468573951</v>
      </c>
      <c r="Z25" s="190">
        <f t="shared" si="1"/>
        <v>23425785938</v>
      </c>
      <c r="AA25" s="190">
        <f t="shared" si="1"/>
        <v>30431216547</v>
      </c>
      <c r="AB25" s="190">
        <f t="shared" si="1"/>
        <v>4235779199</v>
      </c>
      <c r="AC25" s="190">
        <f t="shared" si="1"/>
        <v>4900464830</v>
      </c>
      <c r="AD25" s="190">
        <f t="shared" si="1"/>
        <v>16069814775</v>
      </c>
      <c r="AE25" s="190">
        <f t="shared" si="1"/>
        <v>1140535672</v>
      </c>
      <c r="AF25" s="190">
        <f t="shared" si="1"/>
        <v>1659866933</v>
      </c>
      <c r="AG25" s="190">
        <f t="shared" si="1"/>
        <v>13763200830</v>
      </c>
      <c r="AH25" s="190">
        <f t="shared" si="1"/>
        <v>2489644431</v>
      </c>
      <c r="AI25" s="190">
        <f t="shared" si="1"/>
        <v>14915096755</v>
      </c>
      <c r="AJ25" s="190">
        <f t="shared" si="1"/>
        <v>9298111058</v>
      </c>
      <c r="AK25" s="190">
        <f t="shared" si="1"/>
        <v>13101467464</v>
      </c>
      <c r="AL25" s="190">
        <f t="shared" si="1"/>
        <v>59261304793</v>
      </c>
      <c r="AM25" s="190">
        <f t="shared" si="1"/>
        <v>6366557154</v>
      </c>
      <c r="AN25" s="202"/>
    </row>
    <row r="27" spans="2:40">
      <c r="D27" s="192"/>
      <c r="J27" s="196"/>
      <c r="K27" s="192"/>
      <c r="M27" s="192"/>
      <c r="N27" s="192"/>
      <c r="Q27" s="192"/>
      <c r="R27" s="192"/>
      <c r="S27" s="192"/>
      <c r="V27" s="192"/>
      <c r="Y27" s="192"/>
      <c r="Z27" s="192"/>
      <c r="AB27" s="192"/>
      <c r="AD27" s="192"/>
      <c r="AE27" s="192"/>
      <c r="AF27" s="192"/>
      <c r="AG27" s="192"/>
      <c r="AH27" s="192"/>
      <c r="AI27" s="192"/>
      <c r="AJ27" s="192"/>
      <c r="AL27" s="192"/>
      <c r="AM27" s="192"/>
    </row>
    <row r="28" spans="2:40">
      <c r="J28" s="196"/>
    </row>
    <row r="29" spans="2:40">
      <c r="D29" s="193"/>
      <c r="E29" s="193"/>
      <c r="F29" s="193"/>
      <c r="G29" s="193"/>
      <c r="H29" s="193"/>
      <c r="I29" s="193"/>
      <c r="J29" s="193"/>
      <c r="K29" s="193"/>
      <c r="L29" s="193"/>
      <c r="M29" s="193"/>
      <c r="N29" s="193"/>
      <c r="O29" s="193"/>
      <c r="P29" s="193"/>
      <c r="Q29" s="193"/>
      <c r="R29" s="193"/>
      <c r="S29" s="193"/>
      <c r="T29" s="193"/>
      <c r="U29" s="193"/>
      <c r="V29" s="193"/>
      <c r="W29" s="193"/>
      <c r="X29" s="193"/>
      <c r="Y29" s="193"/>
      <c r="Z29" s="193"/>
      <c r="AA29" s="193"/>
      <c r="AB29" s="193"/>
      <c r="AC29" s="193"/>
      <c r="AD29" s="193"/>
      <c r="AE29" s="193"/>
      <c r="AF29" s="193"/>
      <c r="AG29" s="193"/>
      <c r="AH29" s="193"/>
      <c r="AI29" s="193"/>
      <c r="AJ29" s="193"/>
      <c r="AK29" s="193"/>
      <c r="AL29" s="193"/>
      <c r="AM29" s="193"/>
    </row>
  </sheetData>
  <mergeCells count="4">
    <mergeCell ref="B1:N1"/>
    <mergeCell ref="B2:N2"/>
    <mergeCell ref="B3:N3"/>
    <mergeCell ref="B25:C25"/>
  </mergeCells>
  <pageMargins left="2.4194444444444398" right="0.23611111111111099" top="1.1000000000000001" bottom="0.74791666666666701" header="0.31458333333333299" footer="0.31458333333333299"/>
  <pageSetup paperSize="5" scale="65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>
  <sheetPr>
    <tabColor rgb="FF00B0F0"/>
  </sheetPr>
  <dimension ref="B1:M74"/>
  <sheetViews>
    <sheetView workbookViewId="0">
      <selection activeCell="E42" sqref="E42"/>
    </sheetView>
  </sheetViews>
  <sheetFormatPr defaultColWidth="9.140625" defaultRowHeight="12.75"/>
  <cols>
    <col min="1" max="1" width="7.140625" style="120" customWidth="1"/>
    <col min="2" max="2" width="4.42578125" style="120" customWidth="1"/>
    <col min="3" max="3" width="2.85546875" style="120" customWidth="1"/>
    <col min="4" max="4" width="45.7109375" style="120" customWidth="1"/>
    <col min="5" max="5" width="16.140625" style="120" customWidth="1"/>
    <col min="6" max="6" width="15.5703125" style="120" customWidth="1"/>
    <col min="7" max="7" width="13.42578125" style="120" customWidth="1"/>
    <col min="8" max="8" width="15.7109375" style="120" customWidth="1"/>
    <col min="9" max="9" width="15.42578125" style="120" customWidth="1"/>
    <col min="10" max="10" width="16.5703125" style="121" customWidth="1"/>
    <col min="11" max="11" width="14.5703125" style="121" customWidth="1"/>
    <col min="12" max="12" width="14.85546875" style="121" customWidth="1"/>
    <col min="13" max="13" width="14.5703125" style="121" customWidth="1"/>
    <col min="14" max="16384" width="9.140625" style="120"/>
  </cols>
  <sheetData>
    <row r="1" spans="2:9" ht="15.75">
      <c r="B1" s="122"/>
      <c r="C1" s="122"/>
      <c r="D1" s="122"/>
      <c r="E1" s="122"/>
      <c r="F1" s="122"/>
      <c r="G1" s="122"/>
      <c r="H1" s="122"/>
      <c r="I1" s="122"/>
    </row>
    <row r="2" spans="2:9" ht="15.75">
      <c r="B2" s="2138" t="s">
        <v>0</v>
      </c>
      <c r="C2" s="2138"/>
      <c r="D2" s="2138"/>
      <c r="E2" s="2138"/>
      <c r="F2" s="2138"/>
      <c r="G2" s="2138"/>
      <c r="H2" s="2138"/>
      <c r="I2" s="2138"/>
    </row>
    <row r="3" spans="2:9" ht="15.75">
      <c r="B3" s="2138" t="s">
        <v>1901</v>
      </c>
      <c r="C3" s="2138"/>
      <c r="D3" s="2138"/>
      <c r="E3" s="2138"/>
      <c r="F3" s="2138"/>
      <c r="G3" s="2138"/>
      <c r="H3" s="2138"/>
      <c r="I3" s="2138"/>
    </row>
    <row r="4" spans="2:9" ht="15.75">
      <c r="B4" s="2138" t="s">
        <v>768</v>
      </c>
      <c r="C4" s="2138"/>
      <c r="D4" s="2138"/>
      <c r="E4" s="2138"/>
      <c r="F4" s="2138"/>
      <c r="G4" s="2138"/>
      <c r="H4" s="2138"/>
      <c r="I4" s="2138"/>
    </row>
    <row r="5" spans="2:9">
      <c r="B5" s="123"/>
      <c r="D5" s="124"/>
      <c r="G5" s="123"/>
      <c r="H5" s="123"/>
      <c r="I5" s="161" t="s">
        <v>3</v>
      </c>
    </row>
    <row r="6" spans="2:9" ht="32.25" customHeight="1">
      <c r="B6" s="125" t="s">
        <v>4</v>
      </c>
      <c r="C6" s="2139" t="s">
        <v>68</v>
      </c>
      <c r="D6" s="2140"/>
      <c r="E6" s="126" t="s">
        <v>1756</v>
      </c>
      <c r="F6" s="125" t="s">
        <v>771</v>
      </c>
      <c r="G6" s="125" t="s">
        <v>772</v>
      </c>
      <c r="H6" s="125" t="s">
        <v>1902</v>
      </c>
      <c r="I6" s="126" t="s">
        <v>1760</v>
      </c>
    </row>
    <row r="7" spans="2:9">
      <c r="B7" s="127">
        <v>1</v>
      </c>
      <c r="C7" s="2141" t="s">
        <v>155</v>
      </c>
      <c r="D7" s="2142"/>
      <c r="E7" s="128">
        <f>SUM(E8:E9)</f>
        <v>419850000</v>
      </c>
      <c r="F7" s="129">
        <f>SUM(F8:F9)</f>
        <v>0</v>
      </c>
      <c r="G7" s="129">
        <f>SUM(G8:G9)</f>
        <v>0</v>
      </c>
      <c r="H7" s="128">
        <f>SUM(H8:H9)</f>
        <v>-210192709</v>
      </c>
      <c r="I7" s="128">
        <f>SUM(I8:I9)</f>
        <v>209657291</v>
      </c>
    </row>
    <row r="8" spans="2:9">
      <c r="B8" s="130"/>
      <c r="C8" s="1507" t="s">
        <v>926</v>
      </c>
      <c r="D8" s="131" t="s">
        <v>1903</v>
      </c>
      <c r="E8" s="132">
        <v>70000000</v>
      </c>
      <c r="F8" s="133">
        <v>0</v>
      </c>
      <c r="G8" s="133">
        <v>0</v>
      </c>
      <c r="H8" s="134">
        <v>-7583333</v>
      </c>
      <c r="I8" s="162">
        <f>SUM(E8:H8)</f>
        <v>62416667</v>
      </c>
    </row>
    <row r="9" spans="2:9">
      <c r="B9" s="135"/>
      <c r="C9" s="1507" t="s">
        <v>926</v>
      </c>
      <c r="D9" s="136" t="s">
        <v>1904</v>
      </c>
      <c r="E9" s="132">
        <v>349850000</v>
      </c>
      <c r="F9" s="133">
        <v>0</v>
      </c>
      <c r="G9" s="133">
        <v>0</v>
      </c>
      <c r="H9" s="134">
        <f>(-41000000-14322917-14322917-14322917-14322917-15000000-2312500-13281250-15364583-651042-12708333-15000000-15000000-15000000)</f>
        <v>-202609376</v>
      </c>
      <c r="I9" s="162">
        <f>SUM(E9:H9)</f>
        <v>147240624</v>
      </c>
    </row>
    <row r="10" spans="2:9">
      <c r="B10" s="2143"/>
      <c r="C10" s="2144"/>
      <c r="D10" s="2144"/>
      <c r="E10" s="2144"/>
      <c r="F10" s="2144"/>
      <c r="G10" s="2144"/>
      <c r="H10" s="2144"/>
      <c r="I10" s="2145"/>
    </row>
    <row r="11" spans="2:9">
      <c r="B11" s="138">
        <v>2</v>
      </c>
      <c r="C11" s="2141" t="s">
        <v>1905</v>
      </c>
      <c r="D11" s="2142"/>
      <c r="E11" s="128">
        <f>SUM(E12:E12)</f>
        <v>48500000</v>
      </c>
      <c r="F11" s="129">
        <f>SUM(F12)</f>
        <v>0</v>
      </c>
      <c r="G11" s="129">
        <f>SUM(G12)</f>
        <v>0</v>
      </c>
      <c r="H11" s="128">
        <f>SUM(H12:H12)</f>
        <v>-15156250</v>
      </c>
      <c r="I11" s="128">
        <f>SUM(I12:I12)</f>
        <v>33343750</v>
      </c>
    </row>
    <row r="12" spans="2:9">
      <c r="B12" s="135"/>
      <c r="C12" s="1508" t="s">
        <v>926</v>
      </c>
      <c r="D12" s="136" t="s">
        <v>1906</v>
      </c>
      <c r="E12" s="132">
        <v>48500000</v>
      </c>
      <c r="F12" s="133">
        <v>0</v>
      </c>
      <c r="G12" s="133">
        <v>0</v>
      </c>
      <c r="H12" s="134">
        <v>-15156250</v>
      </c>
      <c r="I12" s="162">
        <f>SUM(E12:H12)</f>
        <v>33343750</v>
      </c>
    </row>
    <row r="13" spans="2:9">
      <c r="B13" s="2143"/>
      <c r="C13" s="2144"/>
      <c r="D13" s="2144"/>
      <c r="E13" s="2144"/>
      <c r="F13" s="2144"/>
      <c r="G13" s="2144"/>
      <c r="H13" s="2144"/>
      <c r="I13" s="2145"/>
    </row>
    <row r="14" spans="2:9">
      <c r="B14" s="139">
        <v>3</v>
      </c>
      <c r="C14" s="2146" t="s">
        <v>1446</v>
      </c>
      <c r="D14" s="2147"/>
      <c r="E14" s="140">
        <f>SUM(E15)</f>
        <v>1140000</v>
      </c>
      <c r="F14" s="129">
        <f>SUM(F15)</f>
        <v>0</v>
      </c>
      <c r="G14" s="129">
        <f>SUM(G15)</f>
        <v>0</v>
      </c>
      <c r="H14" s="140">
        <f>SUM(H15)</f>
        <v>-1140000</v>
      </c>
      <c r="I14" s="140">
        <f>SUM(I15)</f>
        <v>0</v>
      </c>
    </row>
    <row r="15" spans="2:9">
      <c r="B15" s="130"/>
      <c r="C15" s="1509" t="s">
        <v>926</v>
      </c>
      <c r="D15" s="141" t="s">
        <v>1907</v>
      </c>
      <c r="E15" s="142">
        <v>1140000</v>
      </c>
      <c r="F15" s="133">
        <v>0</v>
      </c>
      <c r="G15" s="133">
        <v>0</v>
      </c>
      <c r="H15" s="143">
        <v>-1140000</v>
      </c>
      <c r="I15" s="162">
        <f>SUM(E15:H15)</f>
        <v>0</v>
      </c>
    </row>
    <row r="16" spans="2:9">
      <c r="B16" s="2143"/>
      <c r="C16" s="2144"/>
      <c r="D16" s="2144"/>
      <c r="E16" s="2144"/>
      <c r="F16" s="2144"/>
      <c r="G16" s="2144"/>
      <c r="H16" s="2144"/>
      <c r="I16" s="2145"/>
    </row>
    <row r="17" spans="2:9">
      <c r="B17" s="2143"/>
      <c r="C17" s="2144"/>
      <c r="D17" s="2144"/>
      <c r="E17" s="2144"/>
      <c r="F17" s="2144"/>
      <c r="G17" s="2144"/>
      <c r="H17" s="2144"/>
      <c r="I17" s="2145"/>
    </row>
    <row r="18" spans="2:9">
      <c r="B18" s="139">
        <v>4</v>
      </c>
      <c r="C18" s="2146" t="s">
        <v>166</v>
      </c>
      <c r="D18" s="2147"/>
      <c r="E18" s="140">
        <f>SUM(E19)</f>
        <v>28000000</v>
      </c>
      <c r="F18" s="129">
        <f>SUM(F19)</f>
        <v>0</v>
      </c>
      <c r="G18" s="129">
        <f>SUM(G19)</f>
        <v>0</v>
      </c>
      <c r="H18" s="140">
        <f>SUM(H19)</f>
        <v>-28000000</v>
      </c>
      <c r="I18" s="140">
        <f>SUM(I19)</f>
        <v>0</v>
      </c>
    </row>
    <row r="19" spans="2:9">
      <c r="B19" s="130"/>
      <c r="C19" s="1509" t="s">
        <v>926</v>
      </c>
      <c r="D19" s="136" t="s">
        <v>1904</v>
      </c>
      <c r="E19" s="142">
        <v>28000000</v>
      </c>
      <c r="F19" s="133">
        <v>0</v>
      </c>
      <c r="G19" s="133">
        <v>0</v>
      </c>
      <c r="H19" s="143">
        <v>-28000000</v>
      </c>
      <c r="I19" s="162">
        <f>SUM(E19:H19)</f>
        <v>0</v>
      </c>
    </row>
    <row r="20" spans="2:9">
      <c r="B20" s="2143"/>
      <c r="C20" s="2144"/>
      <c r="D20" s="2144"/>
      <c r="E20" s="2144"/>
      <c r="F20" s="2144"/>
      <c r="G20" s="2144"/>
      <c r="H20" s="2144"/>
      <c r="I20" s="2145"/>
    </row>
    <row r="21" spans="2:9">
      <c r="B21" s="139">
        <v>5</v>
      </c>
      <c r="C21" s="2146" t="s">
        <v>170</v>
      </c>
      <c r="D21" s="2147"/>
      <c r="E21" s="129">
        <f>SUM(E22:E23)</f>
        <v>207723900</v>
      </c>
      <c r="F21" s="129">
        <f>SUM(F22:F23)</f>
        <v>0</v>
      </c>
      <c r="G21" s="129">
        <f>SUM(G22:G23)</f>
        <v>0</v>
      </c>
      <c r="H21" s="129">
        <f>SUM(H22:H23)</f>
        <v>-149155839.16666701</v>
      </c>
      <c r="I21" s="129">
        <f>SUM(I22:I23)</f>
        <v>58568060.833333001</v>
      </c>
    </row>
    <row r="22" spans="2:9">
      <c r="B22" s="130"/>
      <c r="C22" s="1509" t="s">
        <v>926</v>
      </c>
      <c r="D22" s="144" t="s">
        <v>1904</v>
      </c>
      <c r="E22" s="133">
        <v>8680000</v>
      </c>
      <c r="F22" s="133">
        <v>0</v>
      </c>
      <c r="G22" s="133">
        <v>0</v>
      </c>
      <c r="H22" s="143">
        <v>-8680000</v>
      </c>
      <c r="I22" s="162">
        <f>SUM(E22:H22)</f>
        <v>0</v>
      </c>
    </row>
    <row r="23" spans="2:9">
      <c r="B23" s="130"/>
      <c r="C23" s="1509" t="s">
        <v>926</v>
      </c>
      <c r="D23" s="144" t="s">
        <v>1908</v>
      </c>
      <c r="E23" s="133">
        <v>199043900</v>
      </c>
      <c r="F23" s="133">
        <v>0</v>
      </c>
      <c r="G23" s="133">
        <v>0</v>
      </c>
      <c r="H23" s="143">
        <v>-140475839.16666701</v>
      </c>
      <c r="I23" s="162">
        <f>SUM(E23:H23)</f>
        <v>58568060.833333001</v>
      </c>
    </row>
    <row r="24" spans="2:9">
      <c r="B24" s="2148"/>
      <c r="C24" s="2149"/>
      <c r="D24" s="2149"/>
      <c r="E24" s="2149"/>
      <c r="F24" s="2149"/>
      <c r="G24" s="2149"/>
      <c r="H24" s="2149"/>
      <c r="I24" s="2150"/>
    </row>
    <row r="25" spans="2:9">
      <c r="B25" s="139">
        <v>6</v>
      </c>
      <c r="C25" s="2146" t="s">
        <v>176</v>
      </c>
      <c r="D25" s="2147"/>
      <c r="E25" s="129">
        <f>SUM(E26:E26)</f>
        <v>40000000</v>
      </c>
      <c r="F25" s="129">
        <f>SUM(F26:F26)</f>
        <v>0</v>
      </c>
      <c r="G25" s="129">
        <f>SUM(G26:G26)</f>
        <v>0</v>
      </c>
      <c r="H25" s="129">
        <f>SUM(H26:H26)</f>
        <v>-20833333</v>
      </c>
      <c r="I25" s="129">
        <f>SUM(I26:I26)</f>
        <v>19166667</v>
      </c>
    </row>
    <row r="26" spans="2:9">
      <c r="B26" s="130"/>
      <c r="C26" s="1509" t="s">
        <v>926</v>
      </c>
      <c r="D26" s="144" t="s">
        <v>1909</v>
      </c>
      <c r="E26" s="133">
        <v>40000000</v>
      </c>
      <c r="F26" s="133">
        <v>0</v>
      </c>
      <c r="G26" s="133">
        <v>0</v>
      </c>
      <c r="H26" s="143">
        <v>-20833333</v>
      </c>
      <c r="I26" s="162">
        <f>SUM(E26:H26)</f>
        <v>19166667</v>
      </c>
    </row>
    <row r="27" spans="2:9">
      <c r="B27" s="2148"/>
      <c r="C27" s="2149"/>
      <c r="D27" s="2149"/>
      <c r="E27" s="2149"/>
      <c r="F27" s="2149"/>
      <c r="G27" s="2149"/>
      <c r="H27" s="2149"/>
      <c r="I27" s="2150"/>
    </row>
    <row r="28" spans="2:9">
      <c r="B28" s="2148"/>
      <c r="C28" s="2149"/>
      <c r="D28" s="2149"/>
      <c r="E28" s="2149"/>
      <c r="F28" s="2149"/>
      <c r="G28" s="2149"/>
      <c r="H28" s="2149"/>
      <c r="I28" s="2150"/>
    </row>
    <row r="29" spans="2:9">
      <c r="B29" s="139">
        <v>7</v>
      </c>
      <c r="C29" s="2146" t="s">
        <v>182</v>
      </c>
      <c r="D29" s="2147"/>
      <c r="E29" s="129">
        <f>SUM(E30:E30)</f>
        <v>39270000</v>
      </c>
      <c r="F29" s="129">
        <f>SUM(F30:F30)</f>
        <v>0</v>
      </c>
      <c r="G29" s="129">
        <f>SUM(G30:G30)</f>
        <v>0</v>
      </c>
      <c r="H29" s="129">
        <f>SUM(H30:H30)</f>
        <v>-20453125</v>
      </c>
      <c r="I29" s="129">
        <f>SUM(I30:I30)</f>
        <v>18816875</v>
      </c>
    </row>
    <row r="30" spans="2:9">
      <c r="B30" s="130"/>
      <c r="C30" s="1509" t="s">
        <v>926</v>
      </c>
      <c r="D30" s="144" t="s">
        <v>1910</v>
      </c>
      <c r="E30" s="133">
        <v>39270000</v>
      </c>
      <c r="F30" s="133">
        <v>0</v>
      </c>
      <c r="G30" s="133">
        <v>0</v>
      </c>
      <c r="H30" s="143">
        <v>-20453125</v>
      </c>
      <c r="I30" s="162">
        <f>SUM(E30:H30)</f>
        <v>18816875</v>
      </c>
    </row>
    <row r="31" spans="2:9">
      <c r="B31" s="2148"/>
      <c r="C31" s="2149"/>
      <c r="D31" s="2149"/>
      <c r="E31" s="2149"/>
      <c r="F31" s="2149"/>
      <c r="G31" s="2149"/>
      <c r="H31" s="2149"/>
      <c r="I31" s="2150"/>
    </row>
    <row r="32" spans="2:9">
      <c r="B32" s="139">
        <v>8</v>
      </c>
      <c r="C32" s="2146" t="s">
        <v>1585</v>
      </c>
      <c r="D32" s="2147"/>
      <c r="E32" s="129">
        <f>SUM(E33:E37)</f>
        <v>390841500</v>
      </c>
      <c r="F32" s="129">
        <f>SUM(F33:F37)</f>
        <v>235166250</v>
      </c>
      <c r="G32" s="129">
        <f>SUM(G33:G37)</f>
        <v>0</v>
      </c>
      <c r="H32" s="129">
        <f>SUM(H33:H37)</f>
        <v>-303663547</v>
      </c>
      <c r="I32" s="129">
        <f>SUM(I33:I37)</f>
        <v>322344203</v>
      </c>
    </row>
    <row r="33" spans="2:9">
      <c r="B33" s="130"/>
      <c r="C33" s="1509" t="s">
        <v>926</v>
      </c>
      <c r="D33" s="146" t="s">
        <v>1904</v>
      </c>
      <c r="E33" s="133">
        <v>282391500</v>
      </c>
      <c r="F33" s="133">
        <v>0</v>
      </c>
      <c r="G33" s="133">
        <v>0</v>
      </c>
      <c r="H33" s="143">
        <f>-(7554938+15249781+7461667+23254687+38241042+10446333+46010000+25600000+83550000)</f>
        <v>-257368448</v>
      </c>
      <c r="I33" s="162">
        <f>SUM(E33:H33)</f>
        <v>25023052</v>
      </c>
    </row>
    <row r="34" spans="2:9">
      <c r="B34" s="130"/>
      <c r="C34" s="1509" t="s">
        <v>926</v>
      </c>
      <c r="D34" s="146" t="s">
        <v>1911</v>
      </c>
      <c r="E34" s="133">
        <v>8600000</v>
      </c>
      <c r="F34" s="133">
        <v>0</v>
      </c>
      <c r="G34" s="133">
        <v>0</v>
      </c>
      <c r="H34" s="143">
        <f>-1881250-1881250</f>
        <v>-3762500</v>
      </c>
      <c r="I34" s="162">
        <f>SUM(E34:H34)</f>
        <v>4837500</v>
      </c>
    </row>
    <row r="35" spans="2:9">
      <c r="B35" s="130"/>
      <c r="C35" s="1509" t="s">
        <v>926</v>
      </c>
      <c r="D35" s="146" t="s">
        <v>1912</v>
      </c>
      <c r="E35" s="133">
        <v>49900000</v>
      </c>
      <c r="F35" s="133">
        <v>0</v>
      </c>
      <c r="G35" s="133">
        <v>0</v>
      </c>
      <c r="H35" s="143">
        <v>-13514583</v>
      </c>
      <c r="I35" s="162">
        <f>SUM(E35:H35)</f>
        <v>36385417</v>
      </c>
    </row>
    <row r="36" spans="2:9">
      <c r="B36" s="130"/>
      <c r="C36" s="1509" t="s">
        <v>926</v>
      </c>
      <c r="D36" s="146" t="s">
        <v>1913</v>
      </c>
      <c r="E36" s="133">
        <v>49950000</v>
      </c>
      <c r="F36" s="133">
        <v>0</v>
      </c>
      <c r="G36" s="133">
        <v>0</v>
      </c>
      <c r="H36" s="143">
        <v>-13528125</v>
      </c>
      <c r="I36" s="162">
        <f>SUM(E36:H36)</f>
        <v>36421875</v>
      </c>
    </row>
    <row r="37" spans="2:9">
      <c r="B37" s="147"/>
      <c r="C37" s="1509" t="s">
        <v>926</v>
      </c>
      <c r="D37" s="146" t="s">
        <v>1904</v>
      </c>
      <c r="E37" s="133"/>
      <c r="F37" s="148">
        <v>235166250</v>
      </c>
      <c r="G37" s="133">
        <v>0</v>
      </c>
      <c r="H37" s="148">
        <f>-(928125+2472708+1027813+1558849+4363333+5139063)</f>
        <v>-15489891</v>
      </c>
      <c r="I37" s="162">
        <f>SUM(E37:H37)</f>
        <v>219676359</v>
      </c>
    </row>
    <row r="38" spans="2:9">
      <c r="B38" s="137"/>
      <c r="C38" s="136"/>
      <c r="D38" s="136"/>
      <c r="E38" s="149"/>
      <c r="F38" s="149"/>
      <c r="G38" s="145"/>
      <c r="H38" s="145"/>
      <c r="I38" s="163"/>
    </row>
    <row r="39" spans="2:9">
      <c r="B39" s="139">
        <v>9</v>
      </c>
      <c r="C39" s="2146" t="s">
        <v>188</v>
      </c>
      <c r="D39" s="2147"/>
      <c r="E39" s="129">
        <f>SUM(E40:E53)</f>
        <v>419859000</v>
      </c>
      <c r="F39" s="129">
        <f>SUM(F40:F53)</f>
        <v>215403000</v>
      </c>
      <c r="G39" s="129">
        <f>SUM(G40:G53)</f>
        <v>0</v>
      </c>
      <c r="H39" s="129">
        <f>SUM(H40:H53)</f>
        <v>-130953551</v>
      </c>
      <c r="I39" s="129">
        <f>SUM(I40:I53)</f>
        <v>504308449</v>
      </c>
    </row>
    <row r="40" spans="2:9" ht="25.5">
      <c r="B40" s="130"/>
      <c r="C40" s="1509" t="s">
        <v>926</v>
      </c>
      <c r="D40" s="150" t="s">
        <v>1914</v>
      </c>
      <c r="E40" s="151">
        <v>24079000</v>
      </c>
      <c r="F40" s="133">
        <v>0</v>
      </c>
      <c r="G40" s="133">
        <v>0</v>
      </c>
      <c r="H40" s="152">
        <v>-13042792</v>
      </c>
      <c r="I40" s="162">
        <f t="shared" ref="I40:I53" si="0">SUM(E40:H40)</f>
        <v>11036208</v>
      </c>
    </row>
    <row r="41" spans="2:9">
      <c r="B41" s="130"/>
      <c r="C41" s="1509" t="s">
        <v>926</v>
      </c>
      <c r="D41" s="153" t="s">
        <v>1915</v>
      </c>
      <c r="E41" s="154">
        <v>72300000</v>
      </c>
      <c r="F41" s="133">
        <v>0</v>
      </c>
      <c r="G41" s="133">
        <v>0</v>
      </c>
      <c r="H41" s="155">
        <v>-19581250</v>
      </c>
      <c r="I41" s="162">
        <f t="shared" si="0"/>
        <v>52718750</v>
      </c>
    </row>
    <row r="42" spans="2:9">
      <c r="B42" s="130"/>
      <c r="C42" s="1509" t="s">
        <v>926</v>
      </c>
      <c r="D42" s="156" t="s">
        <v>1916</v>
      </c>
      <c r="E42" s="154">
        <v>48900000</v>
      </c>
      <c r="F42" s="133">
        <v>0</v>
      </c>
      <c r="G42" s="133">
        <v>0</v>
      </c>
      <c r="H42" s="155">
        <v>-13243750</v>
      </c>
      <c r="I42" s="162">
        <f t="shared" si="0"/>
        <v>35656250</v>
      </c>
    </row>
    <row r="43" spans="2:9">
      <c r="B43" s="130"/>
      <c r="C43" s="1509" t="s">
        <v>926</v>
      </c>
      <c r="D43" s="156" t="s">
        <v>1917</v>
      </c>
      <c r="E43" s="143">
        <v>83600000</v>
      </c>
      <c r="F43" s="133">
        <v>0</v>
      </c>
      <c r="G43" s="133">
        <v>0</v>
      </c>
      <c r="H43" s="155">
        <v>-22641667</v>
      </c>
      <c r="I43" s="162">
        <f t="shared" si="0"/>
        <v>60958333</v>
      </c>
    </row>
    <row r="44" spans="2:9">
      <c r="B44" s="130"/>
      <c r="C44" s="1509" t="s">
        <v>926</v>
      </c>
      <c r="D44" s="156" t="s">
        <v>1918</v>
      </c>
      <c r="E44" s="143">
        <v>79800000</v>
      </c>
      <c r="F44" s="133">
        <v>0</v>
      </c>
      <c r="G44" s="133">
        <v>0</v>
      </c>
      <c r="H44" s="155">
        <v>-21612500</v>
      </c>
      <c r="I44" s="162">
        <f t="shared" si="0"/>
        <v>58187500</v>
      </c>
    </row>
    <row r="45" spans="2:9">
      <c r="B45" s="130"/>
      <c r="C45" s="1509" t="s">
        <v>926</v>
      </c>
      <c r="D45" s="156" t="s">
        <v>1919</v>
      </c>
      <c r="E45" s="143">
        <v>76400000</v>
      </c>
      <c r="F45" s="133">
        <v>0</v>
      </c>
      <c r="G45" s="133">
        <v>0</v>
      </c>
      <c r="H45" s="155">
        <v>-20691667</v>
      </c>
      <c r="I45" s="162">
        <f t="shared" si="0"/>
        <v>55708333</v>
      </c>
    </row>
    <row r="46" spans="2:9">
      <c r="B46" s="130"/>
      <c r="C46" s="1509" t="s">
        <v>926</v>
      </c>
      <c r="D46" s="156" t="s">
        <v>1920</v>
      </c>
      <c r="E46" s="143">
        <v>20480000</v>
      </c>
      <c r="F46" s="133">
        <v>0</v>
      </c>
      <c r="G46" s="133">
        <v>0</v>
      </c>
      <c r="H46" s="155">
        <v>-5546667</v>
      </c>
      <c r="I46" s="162">
        <f t="shared" si="0"/>
        <v>14933333</v>
      </c>
    </row>
    <row r="47" spans="2:9">
      <c r="B47" s="130"/>
      <c r="C47" s="1509" t="s">
        <v>926</v>
      </c>
      <c r="D47" s="156" t="s">
        <v>1921</v>
      </c>
      <c r="E47" s="143">
        <v>5790000</v>
      </c>
      <c r="F47" s="133">
        <v>0</v>
      </c>
      <c r="G47" s="133">
        <v>0</v>
      </c>
      <c r="H47" s="155">
        <f>-1568125</f>
        <v>-1568125</v>
      </c>
      <c r="I47" s="162">
        <f t="shared" si="0"/>
        <v>4221875</v>
      </c>
    </row>
    <row r="48" spans="2:9">
      <c r="B48" s="130"/>
      <c r="C48" s="1509" t="s">
        <v>926</v>
      </c>
      <c r="D48" s="156" t="s">
        <v>1921</v>
      </c>
      <c r="E48" s="143">
        <v>5790000</v>
      </c>
      <c r="F48" s="133">
        <v>0</v>
      </c>
      <c r="G48" s="133">
        <v>0</v>
      </c>
      <c r="H48" s="155">
        <f>-1568125</f>
        <v>-1568125</v>
      </c>
      <c r="I48" s="162">
        <f t="shared" si="0"/>
        <v>4221875</v>
      </c>
    </row>
    <row r="49" spans="2:9">
      <c r="B49" s="130"/>
      <c r="C49" s="1509" t="s">
        <v>926</v>
      </c>
      <c r="D49" s="156" t="s">
        <v>1921</v>
      </c>
      <c r="E49" s="143">
        <v>2720000</v>
      </c>
      <c r="F49" s="133">
        <v>0</v>
      </c>
      <c r="G49" s="133">
        <v>0</v>
      </c>
      <c r="H49" s="155">
        <v>-736667</v>
      </c>
      <c r="I49" s="162">
        <f t="shared" si="0"/>
        <v>1983333</v>
      </c>
    </row>
    <row r="50" spans="2:9">
      <c r="B50" s="147"/>
      <c r="C50" s="1509" t="s">
        <v>926</v>
      </c>
      <c r="D50" s="146" t="s">
        <v>1904</v>
      </c>
      <c r="E50" s="157"/>
      <c r="F50" s="133">
        <v>25520000</v>
      </c>
      <c r="G50" s="133">
        <v>0</v>
      </c>
      <c r="H50" s="155">
        <v>-3190000</v>
      </c>
      <c r="I50" s="162">
        <f t="shared" si="0"/>
        <v>22330000</v>
      </c>
    </row>
    <row r="51" spans="2:9">
      <c r="B51" s="147"/>
      <c r="C51" s="1509" t="s">
        <v>926</v>
      </c>
      <c r="D51" s="146" t="s">
        <v>1904</v>
      </c>
      <c r="E51" s="157"/>
      <c r="F51" s="133">
        <v>174625000</v>
      </c>
      <c r="G51" s="133">
        <v>0</v>
      </c>
      <c r="H51" s="155">
        <v>-7276042</v>
      </c>
      <c r="I51" s="162">
        <f t="shared" si="0"/>
        <v>167348958</v>
      </c>
    </row>
    <row r="52" spans="2:9">
      <c r="B52" s="147"/>
      <c r="C52" s="1509" t="s">
        <v>926</v>
      </c>
      <c r="D52" s="146" t="s">
        <v>1903</v>
      </c>
      <c r="E52" s="157"/>
      <c r="F52" s="133">
        <v>12640000</v>
      </c>
      <c r="G52" s="133">
        <v>0</v>
      </c>
      <c r="H52" s="155">
        <f>-105333-105333</f>
        <v>-210666</v>
      </c>
      <c r="I52" s="162">
        <f t="shared" si="0"/>
        <v>12429334</v>
      </c>
    </row>
    <row r="53" spans="2:9">
      <c r="B53" s="147"/>
      <c r="C53" s="1509" t="s">
        <v>926</v>
      </c>
      <c r="D53" s="146" t="s">
        <v>1903</v>
      </c>
      <c r="E53" s="157"/>
      <c r="F53" s="133">
        <v>2618000</v>
      </c>
      <c r="G53" s="133">
        <v>0</v>
      </c>
      <c r="H53" s="155">
        <v>-43633</v>
      </c>
      <c r="I53" s="162">
        <f t="shared" si="0"/>
        <v>2574367</v>
      </c>
    </row>
    <row r="54" spans="2:9">
      <c r="B54" s="137"/>
      <c r="C54" s="136"/>
      <c r="D54" s="136"/>
      <c r="E54" s="149"/>
      <c r="F54" s="149"/>
      <c r="G54" s="145"/>
      <c r="H54" s="145"/>
      <c r="I54" s="163"/>
    </row>
    <row r="55" spans="2:9">
      <c r="B55" s="139">
        <v>10</v>
      </c>
      <c r="C55" s="2146" t="s">
        <v>192</v>
      </c>
      <c r="D55" s="2147"/>
      <c r="E55" s="129">
        <f>SUM(E56:E59)</f>
        <v>3329683000</v>
      </c>
      <c r="F55" s="129">
        <f>SUM(F56:F59)</f>
        <v>1507806850</v>
      </c>
      <c r="G55" s="129">
        <f>SUM(G56:G59)</f>
        <v>0</v>
      </c>
      <c r="H55" s="129">
        <f>SUM(H56:H59)</f>
        <v>-3342248057</v>
      </c>
      <c r="I55" s="129">
        <f>SUM(I56:I59)</f>
        <v>1495241793</v>
      </c>
    </row>
    <row r="56" spans="2:9">
      <c r="B56" s="130"/>
      <c r="C56" s="1509" t="s">
        <v>926</v>
      </c>
      <c r="D56" s="150" t="s">
        <v>1922</v>
      </c>
      <c r="E56" s="151">
        <v>326650000</v>
      </c>
      <c r="F56" s="151">
        <v>0</v>
      </c>
      <c r="G56" s="151">
        <v>0</v>
      </c>
      <c r="H56" s="151">
        <v>-326650000</v>
      </c>
      <c r="I56" s="162">
        <f>SUM(E56:H56)</f>
        <v>0</v>
      </c>
    </row>
    <row r="57" spans="2:9">
      <c r="B57" s="130"/>
      <c r="C57" s="1509" t="s">
        <v>926</v>
      </c>
      <c r="D57" s="150" t="s">
        <v>1923</v>
      </c>
      <c r="E57" s="151">
        <v>2102123000</v>
      </c>
      <c r="F57" s="151">
        <v>0</v>
      </c>
      <c r="G57" s="151">
        <v>0</v>
      </c>
      <c r="H57" s="151">
        <v>-2102123000</v>
      </c>
      <c r="I57" s="162">
        <f>SUM(E57:H57)</f>
        <v>0</v>
      </c>
    </row>
    <row r="58" spans="2:9">
      <c r="B58" s="130"/>
      <c r="C58" s="1509" t="s">
        <v>926</v>
      </c>
      <c r="D58" s="150" t="s">
        <v>1923</v>
      </c>
      <c r="E58" s="151">
        <v>900910000</v>
      </c>
      <c r="F58" s="151">
        <v>0</v>
      </c>
      <c r="G58" s="151">
        <v>0</v>
      </c>
      <c r="H58" s="151">
        <v>-900910000</v>
      </c>
      <c r="I58" s="162">
        <f>SUM(E58:H58)</f>
        <v>0</v>
      </c>
    </row>
    <row r="59" spans="2:9">
      <c r="B59" s="130"/>
      <c r="C59" s="1509" t="s">
        <v>926</v>
      </c>
      <c r="D59" s="150" t="s">
        <v>1923</v>
      </c>
      <c r="E59" s="151"/>
      <c r="F59" s="151">
        <v>1507806850</v>
      </c>
      <c r="G59" s="151">
        <v>0</v>
      </c>
      <c r="H59" s="151">
        <v>-12565057</v>
      </c>
      <c r="I59" s="162">
        <f>SUM(E59:H59)</f>
        <v>1495241793</v>
      </c>
    </row>
    <row r="60" spans="2:9">
      <c r="B60" s="137"/>
      <c r="C60" s="136"/>
      <c r="D60" s="136"/>
      <c r="E60" s="149"/>
      <c r="F60" s="149"/>
      <c r="G60" s="145"/>
      <c r="H60" s="145"/>
      <c r="I60" s="163"/>
    </row>
    <row r="61" spans="2:9">
      <c r="B61" s="139">
        <v>11</v>
      </c>
      <c r="C61" s="2146" t="s">
        <v>162</v>
      </c>
      <c r="D61" s="2147"/>
      <c r="E61" s="129">
        <f>E62</f>
        <v>1210000000</v>
      </c>
      <c r="F61" s="129">
        <f>F62</f>
        <v>0</v>
      </c>
      <c r="G61" s="129">
        <f>G62</f>
        <v>0</v>
      </c>
      <c r="H61" s="129">
        <f>H62</f>
        <v>-1210000000</v>
      </c>
      <c r="I61" s="129">
        <f>SUM(I62:I62)</f>
        <v>0</v>
      </c>
    </row>
    <row r="62" spans="2:9">
      <c r="B62" s="130"/>
      <c r="C62" s="1509" t="s">
        <v>926</v>
      </c>
      <c r="D62" s="150" t="s">
        <v>1924</v>
      </c>
      <c r="E62" s="151">
        <v>1210000000</v>
      </c>
      <c r="F62" s="151">
        <v>0</v>
      </c>
      <c r="G62" s="151">
        <v>0</v>
      </c>
      <c r="H62" s="151">
        <v>-1210000000</v>
      </c>
      <c r="I62" s="162">
        <f>SUM(E62:H62)</f>
        <v>0</v>
      </c>
    </row>
    <row r="63" spans="2:9">
      <c r="B63" s="147"/>
      <c r="C63" s="158"/>
      <c r="D63" s="159"/>
      <c r="E63" s="160"/>
      <c r="F63" s="160"/>
      <c r="G63" s="160"/>
      <c r="H63" s="160"/>
      <c r="I63" s="164"/>
    </row>
    <row r="64" spans="2:9">
      <c r="B64" s="139">
        <v>12</v>
      </c>
      <c r="C64" s="2146" t="s">
        <v>1925</v>
      </c>
      <c r="D64" s="2147"/>
      <c r="E64" s="129">
        <f>SUM(E65:E65)</f>
        <v>0</v>
      </c>
      <c r="F64" s="129">
        <f>F65</f>
        <v>557924000</v>
      </c>
      <c r="G64" s="129">
        <f>G65</f>
        <v>0</v>
      </c>
      <c r="H64" s="129">
        <f>H65</f>
        <v>-9298733</v>
      </c>
      <c r="I64" s="129">
        <f>SUM(I65:I65)</f>
        <v>548625267</v>
      </c>
    </row>
    <row r="65" spans="2:9">
      <c r="B65" s="130"/>
      <c r="C65" s="1509" t="s">
        <v>926</v>
      </c>
      <c r="D65" s="150" t="s">
        <v>1903</v>
      </c>
      <c r="E65" s="151">
        <v>0</v>
      </c>
      <c r="F65" s="151">
        <v>557924000</v>
      </c>
      <c r="G65" s="151">
        <v>0</v>
      </c>
      <c r="H65" s="151">
        <v>-9298733</v>
      </c>
      <c r="I65" s="162">
        <f>SUM(E65:H65)</f>
        <v>548625267</v>
      </c>
    </row>
    <row r="66" spans="2:9">
      <c r="B66" s="147"/>
      <c r="C66" s="158"/>
      <c r="D66" s="159"/>
      <c r="E66" s="160"/>
      <c r="F66" s="160"/>
      <c r="G66" s="160"/>
      <c r="H66" s="160"/>
      <c r="I66" s="164"/>
    </row>
    <row r="67" spans="2:9">
      <c r="B67" s="139">
        <v>13</v>
      </c>
      <c r="C67" s="2146" t="s">
        <v>159</v>
      </c>
      <c r="D67" s="2147"/>
      <c r="E67" s="129">
        <f>SUM(E68:E69)</f>
        <v>97100000</v>
      </c>
      <c r="F67" s="129">
        <f>SUM(F68:F69)</f>
        <v>0</v>
      </c>
      <c r="G67" s="129">
        <f>SUM(G68:G69)</f>
        <v>0</v>
      </c>
      <c r="H67" s="129">
        <f>SUM(H68:H69)</f>
        <v>-29939167</v>
      </c>
      <c r="I67" s="129">
        <f>SUM(I68:I69)</f>
        <v>67160833</v>
      </c>
    </row>
    <row r="68" spans="2:9">
      <c r="B68" s="130"/>
      <c r="C68" s="1509" t="s">
        <v>926</v>
      </c>
      <c r="D68" s="150" t="s">
        <v>1926</v>
      </c>
      <c r="E68" s="151">
        <v>48500000</v>
      </c>
      <c r="F68" s="151">
        <v>0</v>
      </c>
      <c r="G68" s="151">
        <v>0</v>
      </c>
      <c r="H68" s="151">
        <v>-14954167</v>
      </c>
      <c r="I68" s="162">
        <f>SUM(E68:H68)</f>
        <v>33545833</v>
      </c>
    </row>
    <row r="69" spans="2:9">
      <c r="B69" s="130"/>
      <c r="C69" s="1509" t="s">
        <v>926</v>
      </c>
      <c r="D69" s="150" t="s">
        <v>1926</v>
      </c>
      <c r="E69" s="151">
        <v>48600000</v>
      </c>
      <c r="F69" s="151">
        <v>0</v>
      </c>
      <c r="G69" s="151">
        <v>0</v>
      </c>
      <c r="H69" s="151">
        <v>-14985000</v>
      </c>
      <c r="I69" s="162">
        <f>SUM(E69:H69)</f>
        <v>33615000</v>
      </c>
    </row>
    <row r="70" spans="2:9">
      <c r="B70" s="165"/>
      <c r="C70" s="166"/>
      <c r="D70" s="166"/>
      <c r="E70" s="167"/>
      <c r="F70" s="167"/>
      <c r="G70" s="168"/>
      <c r="H70" s="168"/>
      <c r="I70" s="172"/>
    </row>
    <row r="71" spans="2:9">
      <c r="B71" s="2151" t="s">
        <v>9</v>
      </c>
      <c r="C71" s="2151"/>
      <c r="D71" s="2151"/>
      <c r="E71" s="169">
        <f>E7+E11+E14+E18+E21++E25+E29+E32+E39+E55+E61+E64+E67</f>
        <v>6231967400</v>
      </c>
      <c r="F71" s="169">
        <f>F7+F11+F14+F18+F21++F25+F29+F32+F39+F55+F61+F64+F67</f>
        <v>2516300100</v>
      </c>
      <c r="G71" s="170">
        <f>G7+G11+G14+G18+G21++G25+G29+G32+G39+G55+G61+G64+G67</f>
        <v>0</v>
      </c>
      <c r="H71" s="169">
        <f>H7+H11+H14+H18+H21++H25+H29+H32+H39+H55+H61+H64+H67</f>
        <v>-5471034311.1666698</v>
      </c>
      <c r="I71" s="169">
        <f>I7+I11+I14+I18+I21++I25+I29+I32+I39+I55+I61+I64+I67</f>
        <v>3277233188.8333302</v>
      </c>
    </row>
    <row r="73" spans="2:9">
      <c r="E73" s="171"/>
      <c r="G73" s="171"/>
      <c r="I73" s="121"/>
    </row>
    <row r="74" spans="2:9">
      <c r="E74" s="121"/>
      <c r="F74" s="121"/>
      <c r="G74" s="121"/>
      <c r="H74" s="121"/>
      <c r="I74" s="121"/>
    </row>
  </sheetData>
  <mergeCells count="27">
    <mergeCell ref="C67:D67"/>
    <mergeCell ref="B71:D71"/>
    <mergeCell ref="C32:D32"/>
    <mergeCell ref="C39:D39"/>
    <mergeCell ref="C55:D55"/>
    <mergeCell ref="C61:D61"/>
    <mergeCell ref="C64:D64"/>
    <mergeCell ref="C25:D25"/>
    <mergeCell ref="B27:I27"/>
    <mergeCell ref="B28:I28"/>
    <mergeCell ref="C29:D29"/>
    <mergeCell ref="B31:I31"/>
    <mergeCell ref="B17:I17"/>
    <mergeCell ref="C18:D18"/>
    <mergeCell ref="B20:I20"/>
    <mergeCell ref="C21:D21"/>
    <mergeCell ref="B24:I24"/>
    <mergeCell ref="B10:I10"/>
    <mergeCell ref="C11:D11"/>
    <mergeCell ref="B13:I13"/>
    <mergeCell ref="C14:D14"/>
    <mergeCell ref="B16:I16"/>
    <mergeCell ref="B2:I2"/>
    <mergeCell ref="B3:I3"/>
    <mergeCell ref="B4:I4"/>
    <mergeCell ref="C6:D6"/>
    <mergeCell ref="C7:D7"/>
  </mergeCells>
  <pageMargins left="1.4960629921259843" right="0.15748031496062992" top="0.23622047244094491" bottom="0.39370078740157483" header="0.11811023622047245" footer="0.31496062992125984"/>
  <pageSetup scale="65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>
  <sheetPr>
    <tabColor rgb="FF00B0F0"/>
  </sheetPr>
  <dimension ref="B1:U22"/>
  <sheetViews>
    <sheetView topLeftCell="D1" workbookViewId="0">
      <selection activeCell="P19" sqref="P19"/>
    </sheetView>
  </sheetViews>
  <sheetFormatPr defaultColWidth="2.85546875" defaultRowHeight="12.75"/>
  <cols>
    <col min="1" max="1" width="2.85546875" style="92" customWidth="1"/>
    <col min="2" max="2" width="4.140625" style="91" customWidth="1"/>
    <col min="3" max="3" width="22.5703125" style="92" customWidth="1"/>
    <col min="4" max="4" width="13.7109375" style="92" customWidth="1"/>
    <col min="5" max="5" width="13.5703125" style="92" customWidth="1"/>
    <col min="6" max="6" width="12.28515625" style="92" customWidth="1"/>
    <col min="7" max="7" width="13.42578125" style="92" customWidth="1"/>
    <col min="8" max="8" width="11.42578125" style="92" customWidth="1"/>
    <col min="9" max="9" width="13.7109375" style="92" customWidth="1"/>
    <col min="10" max="10" width="14.28515625" style="92" customWidth="1"/>
    <col min="11" max="11" width="13.85546875" style="92" customWidth="1"/>
    <col min="12" max="12" width="16.7109375" style="92" customWidth="1"/>
    <col min="13" max="13" width="14" style="93" customWidth="1"/>
    <col min="14" max="14" width="13" style="93" customWidth="1"/>
    <col min="15" max="15" width="12.140625" style="92" customWidth="1"/>
    <col min="16" max="16" width="13.42578125" style="92" customWidth="1"/>
    <col min="17" max="17" width="15.85546875" style="92" customWidth="1"/>
    <col min="18" max="18" width="17.7109375" style="92" customWidth="1"/>
    <col min="19" max="19" width="2.85546875" style="92"/>
    <col min="20" max="20" width="18.7109375" style="92" customWidth="1"/>
    <col min="21" max="21" width="17.28515625" style="92" customWidth="1"/>
    <col min="22" max="16384" width="2.85546875" style="92"/>
  </cols>
  <sheetData>
    <row r="1" spans="2:21" ht="13.5" customHeight="1">
      <c r="B1" s="2152" t="s">
        <v>1464</v>
      </c>
      <c r="C1" s="2152"/>
      <c r="D1" s="2152"/>
      <c r="E1" s="2152"/>
      <c r="F1" s="2152"/>
      <c r="G1" s="2152"/>
      <c r="H1" s="2152"/>
      <c r="I1" s="2152"/>
      <c r="J1" s="2152"/>
      <c r="K1" s="2152"/>
      <c r="L1" s="2152"/>
      <c r="M1" s="2152"/>
      <c r="N1" s="2152"/>
      <c r="O1" s="2152"/>
      <c r="P1" s="2152"/>
      <c r="Q1" s="2152"/>
      <c r="R1" s="2152"/>
    </row>
    <row r="2" spans="2:21" ht="13.5" customHeight="1">
      <c r="B2" s="2152" t="s">
        <v>1927</v>
      </c>
      <c r="C2" s="2152"/>
      <c r="D2" s="2152"/>
      <c r="E2" s="2152"/>
      <c r="F2" s="2152"/>
      <c r="G2" s="2152"/>
      <c r="H2" s="2152"/>
      <c r="I2" s="2152"/>
      <c r="J2" s="2152"/>
      <c r="K2" s="2152"/>
      <c r="L2" s="2152"/>
      <c r="M2" s="2152"/>
      <c r="N2" s="2152"/>
      <c r="O2" s="2152"/>
      <c r="P2" s="2152"/>
      <c r="Q2" s="2152"/>
      <c r="R2" s="2152"/>
    </row>
    <row r="3" spans="2:21" ht="13.5" customHeight="1">
      <c r="B3" s="2152" t="s">
        <v>2</v>
      </c>
      <c r="C3" s="2152"/>
      <c r="D3" s="2152"/>
      <c r="E3" s="2152"/>
      <c r="F3" s="2152"/>
      <c r="G3" s="2152"/>
      <c r="H3" s="2152"/>
      <c r="I3" s="2152"/>
      <c r="J3" s="2152"/>
      <c r="K3" s="2152"/>
      <c r="L3" s="2152"/>
      <c r="M3" s="2152"/>
      <c r="N3" s="2152"/>
      <c r="O3" s="2152"/>
      <c r="P3" s="2152"/>
      <c r="Q3" s="2152"/>
      <c r="R3" s="2152"/>
    </row>
    <row r="4" spans="2:21" ht="13.5" customHeight="1">
      <c r="B4" s="94"/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  <c r="R4" s="90" t="s">
        <v>3</v>
      </c>
    </row>
    <row r="5" spans="2:21" ht="13.5" customHeight="1">
      <c r="B5" s="2153" t="s">
        <v>1466</v>
      </c>
      <c r="C5" s="2156" t="s">
        <v>114</v>
      </c>
      <c r="D5" s="2156" t="s">
        <v>1928</v>
      </c>
      <c r="E5" s="2159" t="s">
        <v>771</v>
      </c>
      <c r="F5" s="2160"/>
      <c r="G5" s="2160"/>
      <c r="H5" s="2160"/>
      <c r="I5" s="2160"/>
      <c r="J5" s="2160"/>
      <c r="K5" s="2160"/>
      <c r="L5" s="2161"/>
      <c r="M5" s="2159" t="s">
        <v>772</v>
      </c>
      <c r="N5" s="2160"/>
      <c r="O5" s="2160"/>
      <c r="P5" s="2160"/>
      <c r="Q5" s="2161"/>
      <c r="R5" s="2156" t="s">
        <v>1929</v>
      </c>
    </row>
    <row r="6" spans="2:21" ht="13.5" customHeight="1">
      <c r="B6" s="2154"/>
      <c r="C6" s="2157"/>
      <c r="D6" s="2157"/>
      <c r="E6" s="2162"/>
      <c r="F6" s="2163"/>
      <c r="G6" s="2163"/>
      <c r="H6" s="2163"/>
      <c r="I6" s="2163"/>
      <c r="J6" s="2163"/>
      <c r="K6" s="2163"/>
      <c r="L6" s="2164"/>
      <c r="M6" s="2162"/>
      <c r="N6" s="2163"/>
      <c r="O6" s="2163"/>
      <c r="P6" s="2163"/>
      <c r="Q6" s="2164"/>
      <c r="R6" s="2157"/>
    </row>
    <row r="7" spans="2:21" ht="13.5" customHeight="1">
      <c r="B7" s="2154"/>
      <c r="C7" s="2157"/>
      <c r="D7" s="2157"/>
      <c r="E7" s="2162"/>
      <c r="F7" s="2163"/>
      <c r="G7" s="2163"/>
      <c r="H7" s="2163"/>
      <c r="I7" s="2163"/>
      <c r="J7" s="2163"/>
      <c r="K7" s="2163"/>
      <c r="L7" s="2164"/>
      <c r="M7" s="2162"/>
      <c r="N7" s="2163"/>
      <c r="O7" s="2163"/>
      <c r="P7" s="2163"/>
      <c r="Q7" s="2164"/>
      <c r="R7" s="2157"/>
    </row>
    <row r="8" spans="2:21" ht="13.5" customHeight="1">
      <c r="B8" s="2154"/>
      <c r="C8" s="2157"/>
      <c r="D8" s="2157"/>
      <c r="E8" s="2162"/>
      <c r="F8" s="2163"/>
      <c r="G8" s="2163"/>
      <c r="H8" s="2163"/>
      <c r="I8" s="2163"/>
      <c r="J8" s="2163"/>
      <c r="K8" s="2163"/>
      <c r="L8" s="2164"/>
      <c r="M8" s="2162"/>
      <c r="N8" s="2163"/>
      <c r="O8" s="2163"/>
      <c r="P8" s="2163"/>
      <c r="Q8" s="2164"/>
      <c r="R8" s="2157"/>
    </row>
    <row r="9" spans="2:21" ht="30.75" customHeight="1">
      <c r="B9" s="2155"/>
      <c r="C9" s="2158"/>
      <c r="D9" s="2158"/>
      <c r="E9" s="1510" t="s">
        <v>1930</v>
      </c>
      <c r="F9" s="97" t="s">
        <v>1721</v>
      </c>
      <c r="G9" s="96" t="s">
        <v>1931</v>
      </c>
      <c r="H9" s="96" t="s">
        <v>1932</v>
      </c>
      <c r="I9" s="96" t="s">
        <v>1933</v>
      </c>
      <c r="J9" s="96" t="s">
        <v>1934</v>
      </c>
      <c r="K9" s="96" t="s">
        <v>1935</v>
      </c>
      <c r="L9" s="96" t="s">
        <v>9</v>
      </c>
      <c r="M9" s="1510" t="s">
        <v>1930</v>
      </c>
      <c r="N9" s="114" t="s">
        <v>1721</v>
      </c>
      <c r="O9" s="96" t="s">
        <v>1931</v>
      </c>
      <c r="P9" s="96" t="s">
        <v>1936</v>
      </c>
      <c r="Q9" s="96" t="s">
        <v>9</v>
      </c>
      <c r="R9" s="2158"/>
    </row>
    <row r="10" spans="2:21" s="91" customFormat="1" ht="13.5" customHeight="1">
      <c r="B10" s="98">
        <v>1</v>
      </c>
      <c r="C10" s="99">
        <v>2</v>
      </c>
      <c r="D10" s="100">
        <v>3</v>
      </c>
      <c r="E10" s="100">
        <v>4</v>
      </c>
      <c r="F10" s="95">
        <v>5</v>
      </c>
      <c r="G10" s="100">
        <v>6</v>
      </c>
      <c r="H10" s="100">
        <v>7</v>
      </c>
      <c r="I10" s="100">
        <v>8</v>
      </c>
      <c r="J10" s="100">
        <v>9</v>
      </c>
      <c r="K10" s="100">
        <v>10</v>
      </c>
      <c r="L10" s="100" t="s">
        <v>1937</v>
      </c>
      <c r="M10" s="100">
        <v>12</v>
      </c>
      <c r="N10" s="100">
        <v>13</v>
      </c>
      <c r="O10" s="100">
        <v>14</v>
      </c>
      <c r="P10" s="100">
        <v>15</v>
      </c>
      <c r="Q10" s="99" t="s">
        <v>1938</v>
      </c>
      <c r="R10" s="100" t="s">
        <v>1939</v>
      </c>
    </row>
    <row r="11" spans="2:21" ht="13.5" customHeight="1">
      <c r="B11" s="101"/>
      <c r="C11" s="102"/>
      <c r="D11" s="103"/>
      <c r="E11" s="103"/>
      <c r="F11" s="103"/>
      <c r="G11" s="103"/>
      <c r="H11" s="103"/>
      <c r="I11" s="103"/>
      <c r="J11" s="103"/>
      <c r="K11" s="103"/>
      <c r="L11" s="103"/>
      <c r="M11" s="103"/>
      <c r="N11" s="103"/>
      <c r="O11" s="103"/>
      <c r="P11" s="103"/>
      <c r="Q11" s="103"/>
      <c r="R11" s="103"/>
    </row>
    <row r="12" spans="2:21" ht="13.5" customHeight="1">
      <c r="B12" s="104" t="s">
        <v>78</v>
      </c>
      <c r="C12" s="105" t="s">
        <v>1940</v>
      </c>
      <c r="D12" s="106">
        <v>310767193757.70001</v>
      </c>
      <c r="E12" s="106">
        <f>'[6]Lamp.(4)'!$H$1623</f>
        <v>0</v>
      </c>
      <c r="F12" s="106">
        <v>12300000</v>
      </c>
      <c r="G12" s="106">
        <v>12974826670</v>
      </c>
      <c r="H12" s="106">
        <v>311473569</v>
      </c>
      <c r="I12" s="106">
        <v>0</v>
      </c>
      <c r="J12" s="106">
        <v>0</v>
      </c>
      <c r="K12" s="106">
        <v>0</v>
      </c>
      <c r="L12" s="115">
        <f>SUM(E12:K12)</f>
        <v>13298600239</v>
      </c>
      <c r="M12" s="106">
        <v>0</v>
      </c>
      <c r="N12" s="106">
        <v>506300000</v>
      </c>
      <c r="O12" s="106">
        <v>135293000</v>
      </c>
      <c r="P12" s="106">
        <v>139320557692.20001</v>
      </c>
      <c r="Q12" s="115">
        <f>SUM(M12:P12)</f>
        <v>139962150692.20001</v>
      </c>
      <c r="R12" s="108">
        <f>D12+L12-Q12</f>
        <v>184103643304.5</v>
      </c>
      <c r="T12" s="117"/>
      <c r="U12" s="53"/>
    </row>
    <row r="13" spans="2:21" ht="13.5" customHeight="1">
      <c r="B13" s="104"/>
      <c r="C13" s="105"/>
      <c r="D13" s="106"/>
      <c r="E13" s="106"/>
      <c r="F13" s="106"/>
      <c r="G13" s="106"/>
      <c r="H13" s="106"/>
      <c r="I13" s="106"/>
      <c r="J13" s="106"/>
      <c r="K13" s="106"/>
      <c r="L13" s="115"/>
      <c r="M13" s="106"/>
      <c r="N13" s="106"/>
      <c r="O13" s="106"/>
      <c r="P13" s="106"/>
      <c r="Q13" s="115"/>
      <c r="R13" s="108">
        <f t="shared" ref="R13:R18" si="0">D13+L13-Q13</f>
        <v>0</v>
      </c>
      <c r="U13" s="53"/>
    </row>
    <row r="14" spans="2:21" ht="13.5" customHeight="1">
      <c r="B14" s="104" t="s">
        <v>81</v>
      </c>
      <c r="C14" s="107" t="s">
        <v>1941</v>
      </c>
      <c r="D14" s="106">
        <v>6134867400</v>
      </c>
      <c r="E14" s="106">
        <v>0</v>
      </c>
      <c r="F14" s="106">
        <v>0</v>
      </c>
      <c r="G14" s="106">
        <v>97100000</v>
      </c>
      <c r="H14" s="106">
        <v>0</v>
      </c>
      <c r="I14" s="106">
        <v>1507806850</v>
      </c>
      <c r="J14" s="106">
        <v>0</v>
      </c>
      <c r="K14" s="106">
        <v>1008493250</v>
      </c>
      <c r="L14" s="115">
        <f>SUM(E14:K14)</f>
        <v>2613400100</v>
      </c>
      <c r="M14" s="106">
        <v>140475839.16999999</v>
      </c>
      <c r="N14" s="106">
        <v>0</v>
      </c>
      <c r="O14" s="106">
        <v>0</v>
      </c>
      <c r="P14" s="106">
        <v>0</v>
      </c>
      <c r="Q14" s="115">
        <f>SUM(M14:P14)</f>
        <v>140475839.16999999</v>
      </c>
      <c r="R14" s="108">
        <f t="shared" si="0"/>
        <v>8607791660.8299999</v>
      </c>
      <c r="T14" s="53"/>
      <c r="U14" s="53"/>
    </row>
    <row r="15" spans="2:21" ht="13.5" customHeight="1">
      <c r="B15" s="104"/>
      <c r="C15" s="105"/>
      <c r="D15" s="106"/>
      <c r="E15" s="106"/>
      <c r="F15" s="106"/>
      <c r="G15" s="106"/>
      <c r="H15" s="106"/>
      <c r="I15" s="106"/>
      <c r="J15" s="106"/>
      <c r="K15" s="106"/>
      <c r="L15" s="115"/>
      <c r="M15" s="106"/>
      <c r="N15" s="106"/>
      <c r="O15" s="106"/>
      <c r="P15" s="106"/>
      <c r="Q15" s="115"/>
      <c r="R15" s="108">
        <f t="shared" si="0"/>
        <v>0</v>
      </c>
      <c r="U15" s="53"/>
    </row>
    <row r="16" spans="2:21" ht="13.5" customHeight="1">
      <c r="B16" s="104" t="s">
        <v>83</v>
      </c>
      <c r="C16" s="105" t="s">
        <v>1942</v>
      </c>
      <c r="D16" s="108">
        <v>-4769347989</v>
      </c>
      <c r="E16" s="106">
        <v>-561210483</v>
      </c>
      <c r="F16" s="106">
        <v>0</v>
      </c>
      <c r="G16" s="106">
        <v>0</v>
      </c>
      <c r="H16" s="106">
        <v>0</v>
      </c>
      <c r="I16" s="106">
        <v>0</v>
      </c>
      <c r="J16" s="106">
        <v>0</v>
      </c>
      <c r="K16" s="106">
        <v>0</v>
      </c>
      <c r="L16" s="115">
        <f>SUM(E16:K16)</f>
        <v>-561210483</v>
      </c>
      <c r="M16" s="106">
        <v>0</v>
      </c>
      <c r="N16" s="106"/>
      <c r="O16" s="106">
        <v>0</v>
      </c>
      <c r="P16" s="106">
        <v>0</v>
      </c>
      <c r="Q16" s="118">
        <f>SUM(M16:P16)</f>
        <v>0</v>
      </c>
      <c r="R16" s="108">
        <f t="shared" si="0"/>
        <v>-5330558472</v>
      </c>
      <c r="T16" s="53"/>
    </row>
    <row r="17" spans="2:20" ht="13.5" customHeight="1">
      <c r="B17" s="104"/>
      <c r="C17" s="105"/>
      <c r="D17" s="108"/>
      <c r="E17" s="106"/>
      <c r="F17" s="106"/>
      <c r="G17" s="106"/>
      <c r="H17" s="106"/>
      <c r="I17" s="106"/>
      <c r="J17" s="106"/>
      <c r="K17" s="106"/>
      <c r="L17" s="115"/>
      <c r="M17" s="106"/>
      <c r="N17" s="106"/>
      <c r="O17" s="106"/>
      <c r="P17" s="106"/>
      <c r="Q17" s="118"/>
      <c r="R17" s="108">
        <f t="shared" si="0"/>
        <v>0</v>
      </c>
    </row>
    <row r="18" spans="2:20" ht="13.5" customHeight="1">
      <c r="B18" s="104" t="s">
        <v>92</v>
      </c>
      <c r="C18" s="105" t="s">
        <v>1943</v>
      </c>
      <c r="D18" s="108">
        <v>-167993591607</v>
      </c>
      <c r="E18" s="109">
        <v>-13385502146</v>
      </c>
      <c r="F18" s="106">
        <v>0</v>
      </c>
      <c r="G18" s="106">
        <v>0</v>
      </c>
      <c r="H18" s="106">
        <v>0</v>
      </c>
      <c r="I18" s="106">
        <v>0</v>
      </c>
      <c r="J18" s="106">
        <v>0</v>
      </c>
      <c r="K18" s="106">
        <v>0</v>
      </c>
      <c r="L18" s="115">
        <f>SUM(E18:K18)</f>
        <v>-13385502146</v>
      </c>
      <c r="M18" s="106">
        <v>-67447476216.339996</v>
      </c>
      <c r="N18" s="106">
        <v>0</v>
      </c>
      <c r="O18" s="106">
        <v>0</v>
      </c>
      <c r="P18" s="106">
        <v>-6778862450</v>
      </c>
      <c r="Q18" s="118">
        <f>SUM(M18:P18)</f>
        <v>-74226338666.339996</v>
      </c>
      <c r="R18" s="108">
        <f t="shared" si="0"/>
        <v>-107152755086.66</v>
      </c>
      <c r="T18" s="53"/>
    </row>
    <row r="19" spans="2:20" ht="13.5" customHeight="1">
      <c r="B19" s="104"/>
      <c r="C19" s="105"/>
      <c r="D19" s="108"/>
      <c r="E19" s="108"/>
      <c r="F19" s="108"/>
      <c r="G19" s="108"/>
      <c r="H19" s="108"/>
      <c r="I19" s="108"/>
      <c r="J19" s="108"/>
      <c r="K19" s="108"/>
      <c r="L19" s="108"/>
      <c r="M19" s="108"/>
      <c r="N19" s="108"/>
      <c r="O19" s="108"/>
      <c r="P19" s="108"/>
      <c r="Q19" s="108"/>
      <c r="R19" s="108"/>
    </row>
    <row r="20" spans="2:20" ht="13.5" customHeight="1">
      <c r="B20" s="110"/>
      <c r="C20" s="111" t="s">
        <v>111</v>
      </c>
      <c r="D20" s="112">
        <f>SUM(D12:D18)</f>
        <v>144139121561.70001</v>
      </c>
      <c r="E20" s="112">
        <f t="shared" ref="E20:R20" si="1">SUM(E12:E18)</f>
        <v>-13946712629</v>
      </c>
      <c r="F20" s="112">
        <f t="shared" si="1"/>
        <v>12300000</v>
      </c>
      <c r="G20" s="112">
        <f t="shared" si="1"/>
        <v>13071926670</v>
      </c>
      <c r="H20" s="112">
        <f t="shared" si="1"/>
        <v>311473569</v>
      </c>
      <c r="I20" s="112">
        <f t="shared" si="1"/>
        <v>1507806850</v>
      </c>
      <c r="J20" s="112">
        <f t="shared" si="1"/>
        <v>0</v>
      </c>
      <c r="K20" s="112">
        <f t="shared" si="1"/>
        <v>1008493250</v>
      </c>
      <c r="L20" s="112">
        <f t="shared" si="1"/>
        <v>1965287710</v>
      </c>
      <c r="M20" s="112">
        <f t="shared" si="1"/>
        <v>-67307000377.169998</v>
      </c>
      <c r="N20" s="112">
        <f t="shared" si="1"/>
        <v>506300000</v>
      </c>
      <c r="O20" s="112">
        <f t="shared" si="1"/>
        <v>135293000</v>
      </c>
      <c r="P20" s="112">
        <f t="shared" si="1"/>
        <v>132541695242.2</v>
      </c>
      <c r="Q20" s="112">
        <f t="shared" si="1"/>
        <v>65876287865.029999</v>
      </c>
      <c r="R20" s="112">
        <f t="shared" si="1"/>
        <v>80228121406.669983</v>
      </c>
      <c r="T20" s="117"/>
    </row>
    <row r="21" spans="2:20">
      <c r="B21" s="102"/>
      <c r="C21" s="102"/>
      <c r="D21" s="102"/>
      <c r="E21" s="102"/>
      <c r="F21" s="102"/>
      <c r="G21" s="102"/>
      <c r="H21" s="102"/>
      <c r="I21" s="102"/>
      <c r="J21" s="102"/>
      <c r="K21" s="102"/>
      <c r="L21" s="102"/>
      <c r="M21" s="102"/>
      <c r="N21" s="102"/>
      <c r="O21" s="102"/>
      <c r="P21" s="102"/>
      <c r="Q21" s="102"/>
      <c r="R21" s="102"/>
    </row>
    <row r="22" spans="2:20">
      <c r="B22" s="102"/>
      <c r="C22" s="102"/>
      <c r="D22" s="113"/>
      <c r="E22" s="113"/>
      <c r="F22" s="113"/>
      <c r="G22" s="113"/>
      <c r="H22" s="113"/>
      <c r="I22" s="113"/>
      <c r="J22" s="113"/>
      <c r="K22" s="113"/>
      <c r="L22" s="102"/>
      <c r="M22" s="116"/>
      <c r="N22" s="116"/>
      <c r="O22" s="102"/>
      <c r="P22" s="102"/>
      <c r="Q22" s="102"/>
      <c r="R22" s="119">
        <f>R20-80228121406.67</f>
        <v>0</v>
      </c>
    </row>
  </sheetData>
  <mergeCells count="9">
    <mergeCell ref="B1:R1"/>
    <mergeCell ref="B2:R2"/>
    <mergeCell ref="B3:R3"/>
    <mergeCell ref="B5:B9"/>
    <mergeCell ref="C5:C9"/>
    <mergeCell ref="D5:D9"/>
    <mergeCell ref="R5:R9"/>
    <mergeCell ref="E5:L8"/>
    <mergeCell ref="M5:Q8"/>
  </mergeCells>
  <pageMargins left="2.4500000000000002" right="0.19685039370078741" top="0.83" bottom="0.74803149606299213" header="0.31496062992125984" footer="0.31496062992125984"/>
  <pageSetup paperSize="5" scale="60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>
  <sheetPr>
    <tabColor rgb="FF00B0F0"/>
  </sheetPr>
  <dimension ref="A2:K100"/>
  <sheetViews>
    <sheetView view="pageBreakPreview" zoomScale="90" zoomScaleNormal="90" workbookViewId="0">
      <selection activeCell="D5" sqref="D5"/>
    </sheetView>
  </sheetViews>
  <sheetFormatPr defaultColWidth="9.140625" defaultRowHeight="12.75"/>
  <cols>
    <col min="1" max="1" width="2.5703125" style="1797" customWidth="1"/>
    <col min="2" max="2" width="3.5703125" style="1834" bestFit="1" customWidth="1"/>
    <col min="3" max="3" width="42.28515625" style="1835" customWidth="1"/>
    <col min="4" max="4" width="47.5703125" style="1785" customWidth="1"/>
    <col min="5" max="5" width="17.7109375" style="1785" customWidth="1"/>
    <col min="6" max="6" width="19.28515625" style="1785" customWidth="1"/>
    <col min="7" max="7" width="18.42578125" style="1785" customWidth="1"/>
    <col min="8" max="8" width="19.7109375" style="1797" customWidth="1"/>
    <col min="9" max="9" width="14.85546875" style="1784" customWidth="1"/>
    <col min="10" max="10" width="19.140625" style="1784" customWidth="1"/>
    <col min="11" max="11" width="22.5703125" style="1785" customWidth="1"/>
    <col min="12" max="16384" width="9.140625" style="1785"/>
  </cols>
  <sheetData>
    <row r="2" spans="2:10" ht="13.5" customHeight="1">
      <c r="B2" s="2186" t="s">
        <v>0</v>
      </c>
      <c r="C2" s="2186"/>
      <c r="D2" s="2186"/>
      <c r="E2" s="2186"/>
      <c r="F2" s="2186"/>
      <c r="G2" s="2186"/>
      <c r="H2" s="2186"/>
    </row>
    <row r="3" spans="2:10">
      <c r="B3" s="2186" t="s">
        <v>1944</v>
      </c>
      <c r="C3" s="2186"/>
      <c r="D3" s="2186"/>
      <c r="E3" s="2186"/>
      <c r="F3" s="2186"/>
      <c r="G3" s="2186"/>
      <c r="H3" s="2186"/>
    </row>
    <row r="4" spans="2:10">
      <c r="B4" s="1786"/>
      <c r="C4" s="1787"/>
      <c r="D4" s="1788"/>
      <c r="E4" s="1788"/>
      <c r="F4" s="1788"/>
      <c r="G4" s="1788"/>
      <c r="H4" s="90" t="s">
        <v>3</v>
      </c>
    </row>
    <row r="5" spans="2:10" ht="36" customHeight="1">
      <c r="B5" s="1790" t="s">
        <v>4</v>
      </c>
      <c r="C5" s="1791" t="s">
        <v>68</v>
      </c>
      <c r="D5" s="1790" t="s">
        <v>114</v>
      </c>
      <c r="E5" s="1790" t="s">
        <v>1928</v>
      </c>
      <c r="F5" s="1790" t="s">
        <v>771</v>
      </c>
      <c r="G5" s="1790" t="s">
        <v>772</v>
      </c>
      <c r="H5" s="1790" t="s">
        <v>1929</v>
      </c>
    </row>
    <row r="6" spans="2:10" s="1795" customFormat="1" ht="14.25" customHeight="1">
      <c r="B6" s="2168">
        <v>1</v>
      </c>
      <c r="C6" s="2171" t="s">
        <v>80</v>
      </c>
      <c r="D6" s="1792" t="s">
        <v>1945</v>
      </c>
      <c r="E6" s="1793">
        <v>72169921</v>
      </c>
      <c r="F6" s="1793">
        <v>8580955</v>
      </c>
      <c r="G6" s="1793">
        <v>0</v>
      </c>
      <c r="H6" s="1793">
        <f>SUM(E6:G6)</f>
        <v>80750876</v>
      </c>
      <c r="I6" s="1794"/>
      <c r="J6" s="1794"/>
    </row>
    <row r="7" spans="2:10" s="1795" customFormat="1" ht="14.25" customHeight="1">
      <c r="B7" s="2169"/>
      <c r="C7" s="2172"/>
      <c r="D7" s="1792" t="s">
        <v>2731</v>
      </c>
      <c r="E7" s="1793">
        <v>0</v>
      </c>
      <c r="F7" s="1793">
        <v>135727</v>
      </c>
      <c r="G7" s="1793">
        <v>0</v>
      </c>
      <c r="H7" s="1793">
        <f>SUM(E7:G7)</f>
        <v>135727</v>
      </c>
      <c r="I7" s="1794"/>
      <c r="J7" s="1794"/>
    </row>
    <row r="8" spans="2:10" s="1795" customFormat="1" ht="14.25" customHeight="1">
      <c r="B8" s="2169"/>
      <c r="C8" s="2172"/>
      <c r="D8" s="1792" t="s">
        <v>1946</v>
      </c>
      <c r="E8" s="1793">
        <v>0</v>
      </c>
      <c r="F8" s="1793">
        <v>4964169000</v>
      </c>
      <c r="G8" s="1793">
        <v>0</v>
      </c>
      <c r="H8" s="1793">
        <f>SUM(E8:G8)</f>
        <v>4964169000</v>
      </c>
      <c r="I8" s="1794"/>
      <c r="J8" s="1794"/>
    </row>
    <row r="9" spans="2:10" s="1795" customFormat="1" ht="14.25" customHeight="1">
      <c r="B9" s="2168">
        <v>2</v>
      </c>
      <c r="C9" s="2171" t="s">
        <v>29</v>
      </c>
      <c r="D9" s="1792" t="s">
        <v>1946</v>
      </c>
      <c r="E9" s="1793">
        <v>1582393</v>
      </c>
      <c r="F9" s="1793">
        <v>512124000</v>
      </c>
      <c r="G9" s="1793">
        <v>-1582393</v>
      </c>
      <c r="H9" s="1793">
        <f t="shared" ref="H9:H74" si="0">SUM(E9:G9)</f>
        <v>512124000</v>
      </c>
      <c r="I9" s="1794"/>
      <c r="J9" s="1794"/>
    </row>
    <row r="10" spans="2:10" s="1795" customFormat="1" ht="14.25" customHeight="1">
      <c r="B10" s="2169"/>
      <c r="C10" s="2172"/>
      <c r="D10" s="1792" t="s">
        <v>1947</v>
      </c>
      <c r="E10" s="1793">
        <v>24040103</v>
      </c>
      <c r="F10" s="1793">
        <v>22671196</v>
      </c>
      <c r="G10" s="1793">
        <v>-24040103</v>
      </c>
      <c r="H10" s="1793">
        <f t="shared" si="0"/>
        <v>22671196</v>
      </c>
      <c r="I10" s="1794"/>
      <c r="J10" s="1794"/>
    </row>
    <row r="11" spans="2:10" s="1795" customFormat="1" ht="14.25" customHeight="1">
      <c r="B11" s="2170"/>
      <c r="C11" s="2173"/>
      <c r="D11" s="1792" t="s">
        <v>1948</v>
      </c>
      <c r="E11" s="1793">
        <v>700597</v>
      </c>
      <c r="F11" s="1793">
        <v>483177</v>
      </c>
      <c r="G11" s="1793">
        <v>-700597</v>
      </c>
      <c r="H11" s="1793">
        <f t="shared" si="0"/>
        <v>483177</v>
      </c>
      <c r="I11" s="1794"/>
      <c r="J11" s="1794"/>
    </row>
    <row r="12" spans="2:10" s="1797" customFormat="1" ht="14.25" customHeight="1">
      <c r="B12" s="2168">
        <v>3</v>
      </c>
      <c r="C12" s="2171" t="s">
        <v>1564</v>
      </c>
      <c r="D12" s="1792" t="s">
        <v>1946</v>
      </c>
      <c r="E12" s="1793">
        <v>0</v>
      </c>
      <c r="F12" s="1793">
        <v>2662883819</v>
      </c>
      <c r="G12" s="1793">
        <v>0</v>
      </c>
      <c r="H12" s="1796">
        <f t="shared" si="0"/>
        <v>2662883819</v>
      </c>
      <c r="I12" s="1794"/>
      <c r="J12" s="1794"/>
    </row>
    <row r="13" spans="2:10" s="1797" customFormat="1" ht="14.25" customHeight="1">
      <c r="B13" s="2170"/>
      <c r="C13" s="2173"/>
      <c r="D13" s="1792" t="s">
        <v>1949</v>
      </c>
      <c r="E13" s="1793">
        <v>71761696</v>
      </c>
      <c r="F13" s="1793">
        <v>42421696</v>
      </c>
      <c r="G13" s="1793">
        <f>-71761696</f>
        <v>-71761696</v>
      </c>
      <c r="H13" s="1796">
        <f t="shared" si="0"/>
        <v>42421696</v>
      </c>
      <c r="I13" s="1794"/>
      <c r="J13" s="1794"/>
    </row>
    <row r="14" spans="2:10" s="1797" customFormat="1" ht="14.25" customHeight="1">
      <c r="B14" s="1798">
        <v>4</v>
      </c>
      <c r="C14" s="1799" t="s">
        <v>1565</v>
      </c>
      <c r="D14" s="1792" t="s">
        <v>1946</v>
      </c>
      <c r="E14" s="1793">
        <v>0</v>
      </c>
      <c r="F14" s="1793">
        <f>180000000+79288710+104500+755612000+132222000</f>
        <v>1147227210</v>
      </c>
      <c r="G14" s="1793">
        <v>0</v>
      </c>
      <c r="H14" s="1796">
        <f t="shared" si="0"/>
        <v>1147227210</v>
      </c>
      <c r="I14" s="1794"/>
      <c r="J14" s="1794"/>
    </row>
    <row r="15" spans="2:10" s="1803" customFormat="1" ht="14.25" customHeight="1">
      <c r="B15" s="1800">
        <v>5</v>
      </c>
      <c r="C15" s="1801" t="s">
        <v>1566</v>
      </c>
      <c r="D15" s="1792" t="s">
        <v>1946</v>
      </c>
      <c r="E15" s="1793">
        <v>0</v>
      </c>
      <c r="F15" s="1793">
        <f>482142000+69934000</f>
        <v>552076000</v>
      </c>
      <c r="G15" s="1793">
        <v>0</v>
      </c>
      <c r="H15" s="1796">
        <f t="shared" si="0"/>
        <v>552076000</v>
      </c>
      <c r="I15" s="1794"/>
      <c r="J15" s="1802"/>
    </row>
    <row r="16" spans="2:10" s="1803" customFormat="1">
      <c r="B16" s="1804">
        <v>6</v>
      </c>
      <c r="C16" s="1805" t="s">
        <v>1567</v>
      </c>
      <c r="D16" s="1806" t="s">
        <v>1946</v>
      </c>
      <c r="E16" s="1807">
        <v>0</v>
      </c>
      <c r="F16" s="1807">
        <f>159992000+18832000</f>
        <v>178824000</v>
      </c>
      <c r="G16" s="1807"/>
      <c r="H16" s="1808">
        <f t="shared" si="0"/>
        <v>178824000</v>
      </c>
      <c r="I16" s="1794"/>
      <c r="J16" s="1802"/>
    </row>
    <row r="17" spans="2:10" s="1803" customFormat="1" ht="14.25" customHeight="1">
      <c r="B17" s="1804">
        <v>7</v>
      </c>
      <c r="C17" s="1809" t="s">
        <v>1568</v>
      </c>
      <c r="D17" s="1806" t="s">
        <v>1946</v>
      </c>
      <c r="E17" s="1793">
        <v>0</v>
      </c>
      <c r="F17" s="1793">
        <f>169949400+21462000</f>
        <v>191411400</v>
      </c>
      <c r="G17" s="1793">
        <v>0</v>
      </c>
      <c r="H17" s="1796">
        <f t="shared" si="0"/>
        <v>191411400</v>
      </c>
      <c r="I17" s="1794"/>
      <c r="J17" s="1802"/>
    </row>
    <row r="18" spans="2:10" s="1803" customFormat="1" ht="14.25" customHeight="1">
      <c r="B18" s="2168">
        <v>8</v>
      </c>
      <c r="C18" s="2171" t="s">
        <v>1569</v>
      </c>
      <c r="D18" s="1792" t="s">
        <v>1946</v>
      </c>
      <c r="E18" s="1793">
        <v>400000</v>
      </c>
      <c r="F18" s="1793">
        <f>301500000+56280000</f>
        <v>357780000</v>
      </c>
      <c r="G18" s="1793">
        <v>-400000</v>
      </c>
      <c r="H18" s="1796">
        <f t="shared" si="0"/>
        <v>357780000</v>
      </c>
      <c r="I18" s="1794"/>
      <c r="J18" s="1802"/>
    </row>
    <row r="19" spans="2:10" s="1803" customFormat="1" ht="14.25" customHeight="1">
      <c r="B19" s="2169"/>
      <c r="C19" s="2172"/>
      <c r="D19" s="1792" t="s">
        <v>1950</v>
      </c>
      <c r="E19" s="1793">
        <v>38360</v>
      </c>
      <c r="F19" s="1793">
        <v>0</v>
      </c>
      <c r="G19" s="1793">
        <v>-38360</v>
      </c>
      <c r="H19" s="1796">
        <f t="shared" si="0"/>
        <v>0</v>
      </c>
      <c r="I19" s="1794"/>
      <c r="J19" s="1802"/>
    </row>
    <row r="20" spans="2:10" s="1803" customFormat="1" ht="14.25" customHeight="1">
      <c r="B20" s="2170"/>
      <c r="C20" s="2173"/>
      <c r="D20" s="1792" t="s">
        <v>1951</v>
      </c>
      <c r="E20" s="1793">
        <v>893750</v>
      </c>
      <c r="F20" s="1793">
        <v>0</v>
      </c>
      <c r="G20" s="1793">
        <v>-893750</v>
      </c>
      <c r="H20" s="1796">
        <f t="shared" si="0"/>
        <v>0</v>
      </c>
      <c r="I20" s="1794"/>
      <c r="J20" s="1802"/>
    </row>
    <row r="21" spans="2:10" s="1803" customFormat="1" ht="14.25" customHeight="1">
      <c r="B21" s="2168">
        <v>9</v>
      </c>
      <c r="C21" s="2183" t="s">
        <v>1570</v>
      </c>
      <c r="D21" s="1792" t="s">
        <v>1946</v>
      </c>
      <c r="E21" s="1793">
        <v>766000</v>
      </c>
      <c r="F21" s="1793">
        <v>155899000</v>
      </c>
      <c r="G21" s="1793">
        <v>-766000</v>
      </c>
      <c r="H21" s="1796">
        <f t="shared" si="0"/>
        <v>155899000</v>
      </c>
      <c r="I21" s="1794"/>
      <c r="J21" s="1802"/>
    </row>
    <row r="22" spans="2:10" s="1803" customFormat="1" ht="14.25" customHeight="1">
      <c r="B22" s="2169"/>
      <c r="C22" s="2184"/>
      <c r="D22" s="1792" t="s">
        <v>1950</v>
      </c>
      <c r="E22" s="1793">
        <v>242660</v>
      </c>
      <c r="F22" s="1793">
        <v>1444789</v>
      </c>
      <c r="G22" s="1793">
        <v>-242660</v>
      </c>
      <c r="H22" s="1796">
        <f t="shared" si="0"/>
        <v>1444789</v>
      </c>
      <c r="I22" s="1794"/>
      <c r="J22" s="1802"/>
    </row>
    <row r="23" spans="2:10" s="1803" customFormat="1" ht="14.25" customHeight="1">
      <c r="B23" s="2169"/>
      <c r="C23" s="2184"/>
      <c r="D23" s="1792" t="s">
        <v>1947</v>
      </c>
      <c r="E23" s="1793">
        <v>4273883</v>
      </c>
      <c r="F23" s="1793">
        <v>5045672</v>
      </c>
      <c r="G23" s="1793">
        <v>-4273883</v>
      </c>
      <c r="H23" s="1796">
        <f t="shared" si="0"/>
        <v>5045672</v>
      </c>
      <c r="I23" s="1794"/>
      <c r="J23" s="1802"/>
    </row>
    <row r="24" spans="2:10" s="1803" customFormat="1" ht="14.25" customHeight="1">
      <c r="B24" s="2169"/>
      <c r="C24" s="2184"/>
      <c r="D24" s="1792" t="s">
        <v>1952</v>
      </c>
      <c r="E24" s="1793">
        <v>114900</v>
      </c>
      <c r="F24" s="1793">
        <v>114900</v>
      </c>
      <c r="G24" s="1793">
        <v>-114900</v>
      </c>
      <c r="H24" s="1796">
        <f t="shared" si="0"/>
        <v>114900</v>
      </c>
      <c r="I24" s="1794"/>
      <c r="J24" s="1802"/>
    </row>
    <row r="25" spans="2:10" s="1803" customFormat="1" ht="14.25" customHeight="1">
      <c r="B25" s="2170"/>
      <c r="C25" s="2185"/>
      <c r="D25" s="1792" t="s">
        <v>1953</v>
      </c>
      <c r="E25" s="1793">
        <v>0</v>
      </c>
      <c r="F25" s="1793">
        <v>713899</v>
      </c>
      <c r="G25" s="1793">
        <v>0</v>
      </c>
      <c r="H25" s="1796">
        <f t="shared" si="0"/>
        <v>713899</v>
      </c>
      <c r="I25" s="1794"/>
      <c r="J25" s="1802"/>
    </row>
    <row r="26" spans="2:10" s="1803" customFormat="1" ht="14.25" customHeight="1">
      <c r="B26" s="2180">
        <v>10</v>
      </c>
      <c r="C26" s="2171" t="s">
        <v>1572</v>
      </c>
      <c r="D26" s="1792" t="s">
        <v>1946</v>
      </c>
      <c r="E26" s="1810">
        <v>0</v>
      </c>
      <c r="F26" s="1810">
        <f>340829000+41042000</f>
        <v>381871000</v>
      </c>
      <c r="G26" s="1810">
        <v>0</v>
      </c>
      <c r="H26" s="1796">
        <f t="shared" si="0"/>
        <v>381871000</v>
      </c>
      <c r="I26" s="1794"/>
      <c r="J26" s="1802"/>
    </row>
    <row r="27" spans="2:10" s="1803" customFormat="1" ht="14.25" customHeight="1">
      <c r="B27" s="2181"/>
      <c r="C27" s="2172"/>
      <c r="D27" s="1792" t="s">
        <v>1947</v>
      </c>
      <c r="E27" s="1810">
        <v>8185667</v>
      </c>
      <c r="F27" s="1810">
        <v>6786116</v>
      </c>
      <c r="G27" s="1810">
        <v>-8185667</v>
      </c>
      <c r="H27" s="1796">
        <f t="shared" si="0"/>
        <v>6786116</v>
      </c>
      <c r="I27" s="1794"/>
      <c r="J27" s="1802"/>
    </row>
    <row r="28" spans="2:10" s="1803" customFormat="1" ht="14.25" customHeight="1">
      <c r="B28" s="2182"/>
      <c r="C28" s="2173"/>
      <c r="D28" s="1792" t="s">
        <v>1952</v>
      </c>
      <c r="E28" s="1793">
        <v>260160</v>
      </c>
      <c r="F28" s="1793">
        <v>923160</v>
      </c>
      <c r="G28" s="1793">
        <v>-260160</v>
      </c>
      <c r="H28" s="1796">
        <f t="shared" si="0"/>
        <v>923160</v>
      </c>
      <c r="I28" s="1794"/>
      <c r="J28" s="1802"/>
    </row>
    <row r="29" spans="2:10" s="1803" customFormat="1" ht="14.25" customHeight="1">
      <c r="B29" s="2168">
        <v>11</v>
      </c>
      <c r="C29" s="2171" t="s">
        <v>1573</v>
      </c>
      <c r="D29" s="1792" t="s">
        <v>1946</v>
      </c>
      <c r="E29" s="1793">
        <v>0</v>
      </c>
      <c r="F29" s="1793">
        <f>435039000+52962000</f>
        <v>488001000</v>
      </c>
      <c r="G29" s="1793">
        <v>0</v>
      </c>
      <c r="H29" s="1796">
        <f t="shared" si="0"/>
        <v>488001000</v>
      </c>
      <c r="I29" s="1794"/>
      <c r="J29" s="1802"/>
    </row>
    <row r="30" spans="2:10" s="1803" customFormat="1" ht="14.25" customHeight="1">
      <c r="B30" s="2170"/>
      <c r="C30" s="2173"/>
      <c r="D30" s="1792" t="s">
        <v>1949</v>
      </c>
      <c r="E30" s="1793">
        <v>64519500</v>
      </c>
      <c r="F30" s="1793">
        <v>0</v>
      </c>
      <c r="G30" s="1793">
        <v>0</v>
      </c>
      <c r="H30" s="1796">
        <f t="shared" si="0"/>
        <v>64519500</v>
      </c>
      <c r="I30" s="1794"/>
      <c r="J30" s="1802"/>
    </row>
    <row r="31" spans="2:10" s="1803" customFormat="1" ht="14.25" customHeight="1">
      <c r="B31" s="1798">
        <v>12</v>
      </c>
      <c r="C31" s="1799" t="s">
        <v>1954</v>
      </c>
      <c r="D31" s="1792" t="s">
        <v>1946</v>
      </c>
      <c r="E31" s="1793">
        <v>0</v>
      </c>
      <c r="F31" s="1793">
        <f>217215000+21536000</f>
        <v>238751000</v>
      </c>
      <c r="G31" s="1793">
        <v>0</v>
      </c>
      <c r="H31" s="1796">
        <f t="shared" si="0"/>
        <v>238751000</v>
      </c>
      <c r="I31" s="1794"/>
      <c r="J31" s="1802"/>
    </row>
    <row r="32" spans="2:10" s="1803" customFormat="1" ht="14.25" customHeight="1">
      <c r="B32" s="1811">
        <v>13</v>
      </c>
      <c r="C32" s="1812" t="s">
        <v>1575</v>
      </c>
      <c r="D32" s="1792" t="s">
        <v>1946</v>
      </c>
      <c r="E32" s="1796">
        <v>0</v>
      </c>
      <c r="F32" s="1796">
        <f>162706000+17742000</f>
        <v>180448000</v>
      </c>
      <c r="G32" s="1793">
        <v>0</v>
      </c>
      <c r="H32" s="1796">
        <f t="shared" si="0"/>
        <v>180448000</v>
      </c>
      <c r="I32" s="1794"/>
      <c r="J32" s="1802"/>
    </row>
    <row r="33" spans="2:10" s="1803" customFormat="1" ht="14.25" customHeight="1">
      <c r="B33" s="2180">
        <v>14</v>
      </c>
      <c r="C33" s="2171" t="s">
        <v>99</v>
      </c>
      <c r="D33" s="1792" t="s">
        <v>1946</v>
      </c>
      <c r="E33" s="1793">
        <v>0</v>
      </c>
      <c r="F33" s="1793">
        <v>250070000</v>
      </c>
      <c r="G33" s="1793">
        <v>0</v>
      </c>
      <c r="H33" s="1796">
        <f>SUM(E33:G33)</f>
        <v>250070000</v>
      </c>
      <c r="I33" s="1794"/>
      <c r="J33" s="1802"/>
    </row>
    <row r="34" spans="2:10" s="1803" customFormat="1" ht="14.25" customHeight="1">
      <c r="B34" s="2181"/>
      <c r="C34" s="2172"/>
      <c r="D34" s="1792" t="s">
        <v>1949</v>
      </c>
      <c r="E34" s="1793">
        <v>0</v>
      </c>
      <c r="F34" s="1793">
        <v>22795000</v>
      </c>
      <c r="G34" s="1793">
        <v>0</v>
      </c>
      <c r="H34" s="1796">
        <f>SUM(E34:G34)</f>
        <v>22795000</v>
      </c>
      <c r="I34" s="1794"/>
      <c r="J34" s="1802"/>
    </row>
    <row r="35" spans="2:10" s="1803" customFormat="1" ht="14.25" customHeight="1">
      <c r="B35" s="1813">
        <v>15</v>
      </c>
      <c r="C35" s="1814" t="s">
        <v>1451</v>
      </c>
      <c r="D35" s="1792" t="s">
        <v>1946</v>
      </c>
      <c r="E35" s="1796">
        <v>0</v>
      </c>
      <c r="F35" s="1796">
        <f>194817000+21520000</f>
        <v>216337000</v>
      </c>
      <c r="G35" s="1793">
        <v>0</v>
      </c>
      <c r="H35" s="1796">
        <f t="shared" si="0"/>
        <v>216337000</v>
      </c>
      <c r="I35" s="1794"/>
      <c r="J35" s="1802"/>
    </row>
    <row r="36" spans="2:10" s="1803" customFormat="1" ht="14.25" customHeight="1">
      <c r="B36" s="2168">
        <v>16</v>
      </c>
      <c r="C36" s="2171" t="s">
        <v>1576</v>
      </c>
      <c r="D36" s="1792" t="s">
        <v>1946</v>
      </c>
      <c r="E36" s="1793">
        <v>0</v>
      </c>
      <c r="F36" s="1793">
        <f>195128000+24132000</f>
        <v>219260000</v>
      </c>
      <c r="G36" s="1793">
        <v>0</v>
      </c>
      <c r="H36" s="1796">
        <f>SUM(E36:G36)</f>
        <v>219260000</v>
      </c>
      <c r="I36" s="1794"/>
      <c r="J36" s="1802"/>
    </row>
    <row r="37" spans="2:10" s="1803" customFormat="1" ht="14.25" customHeight="1">
      <c r="B37" s="2169"/>
      <c r="C37" s="2172"/>
      <c r="D37" s="1792" t="s">
        <v>1947</v>
      </c>
      <c r="E37" s="1793">
        <v>0</v>
      </c>
      <c r="F37" s="1793">
        <v>11613938</v>
      </c>
      <c r="G37" s="1793">
        <v>0</v>
      </c>
      <c r="H37" s="1796">
        <f>SUM(E37:G37)</f>
        <v>11613938</v>
      </c>
      <c r="I37" s="1794"/>
      <c r="J37" s="1802"/>
    </row>
    <row r="38" spans="2:10" s="1803" customFormat="1" ht="14.25" customHeight="1">
      <c r="B38" s="2169"/>
      <c r="C38" s="2172"/>
      <c r="D38" s="1792" t="s">
        <v>1950</v>
      </c>
      <c r="E38" s="1793">
        <v>0</v>
      </c>
      <c r="F38" s="1793">
        <v>921954</v>
      </c>
      <c r="G38" s="1793">
        <v>0</v>
      </c>
      <c r="H38" s="1796">
        <f t="shared" si="0"/>
        <v>921954</v>
      </c>
      <c r="I38" s="1794"/>
      <c r="J38" s="1802"/>
    </row>
    <row r="39" spans="2:10" s="1803" customFormat="1" ht="14.25" customHeight="1">
      <c r="B39" s="2169"/>
      <c r="C39" s="2172"/>
      <c r="D39" s="1815" t="s">
        <v>1955</v>
      </c>
      <c r="E39" s="1793">
        <v>8874000</v>
      </c>
      <c r="F39" s="1793">
        <v>0</v>
      </c>
      <c r="G39" s="1793">
        <v>-8874000</v>
      </c>
      <c r="H39" s="1796">
        <f t="shared" si="0"/>
        <v>0</v>
      </c>
      <c r="I39" s="1794"/>
      <c r="J39" s="1802"/>
    </row>
    <row r="40" spans="2:10" s="1803" customFormat="1" ht="14.25" customHeight="1">
      <c r="B40" s="1816">
        <v>17</v>
      </c>
      <c r="C40" s="1817" t="s">
        <v>1577</v>
      </c>
      <c r="D40" s="1792" t="s">
        <v>1946</v>
      </c>
      <c r="E40" s="1793">
        <v>0</v>
      </c>
      <c r="F40" s="1793">
        <f>172621000+2400000+20484000</f>
        <v>195505000</v>
      </c>
      <c r="G40" s="1793"/>
      <c r="H40" s="1796">
        <f t="shared" si="0"/>
        <v>195505000</v>
      </c>
      <c r="I40" s="1794"/>
      <c r="J40" s="1802"/>
    </row>
    <row r="41" spans="2:10" s="1803" customFormat="1" ht="14.25" customHeight="1">
      <c r="B41" s="2168">
        <v>18</v>
      </c>
      <c r="C41" s="2171" t="s">
        <v>1578</v>
      </c>
      <c r="D41" s="1792" t="s">
        <v>1946</v>
      </c>
      <c r="E41" s="1793">
        <v>0</v>
      </c>
      <c r="F41" s="1793">
        <v>197214300</v>
      </c>
      <c r="G41" s="1793">
        <v>0</v>
      </c>
      <c r="H41" s="1796">
        <f t="shared" si="0"/>
        <v>197214300</v>
      </c>
      <c r="I41" s="1794"/>
      <c r="J41" s="1802"/>
    </row>
    <row r="42" spans="2:10" s="1803" customFormat="1" ht="14.25" customHeight="1">
      <c r="B42" s="2170"/>
      <c r="C42" s="2173"/>
      <c r="D42" s="1792" t="s">
        <v>1947</v>
      </c>
      <c r="E42" s="1793">
        <v>9492600</v>
      </c>
      <c r="F42" s="1793">
        <v>0</v>
      </c>
      <c r="G42" s="1793">
        <v>-9492600</v>
      </c>
      <c r="H42" s="1796">
        <f t="shared" si="0"/>
        <v>0</v>
      </c>
      <c r="I42" s="1794"/>
      <c r="J42" s="1802"/>
    </row>
    <row r="43" spans="2:10" s="1803" customFormat="1" ht="14.25" customHeight="1">
      <c r="B43" s="1800">
        <v>19</v>
      </c>
      <c r="C43" s="1818" t="s">
        <v>1579</v>
      </c>
      <c r="D43" s="1792" t="s">
        <v>1946</v>
      </c>
      <c r="E43" s="1793">
        <v>1200000</v>
      </c>
      <c r="F43" s="1793">
        <v>247681000</v>
      </c>
      <c r="G43" s="1793">
        <v>-1200000</v>
      </c>
      <c r="H43" s="1796">
        <f t="shared" si="0"/>
        <v>247681000</v>
      </c>
      <c r="I43" s="1794"/>
      <c r="J43" s="1802"/>
    </row>
    <row r="44" spans="2:10" s="1803" customFormat="1" ht="14.25" customHeight="1">
      <c r="B44" s="2168">
        <v>20</v>
      </c>
      <c r="C44" s="2171" t="s">
        <v>1580</v>
      </c>
      <c r="D44" s="1792" t="s">
        <v>1945</v>
      </c>
      <c r="E44" s="1793">
        <v>7594363</v>
      </c>
      <c r="F44" s="1793">
        <v>0</v>
      </c>
      <c r="G44" s="1793">
        <v>-5723363</v>
      </c>
      <c r="H44" s="1796">
        <f>SUM(E44:G44)</f>
        <v>1871000</v>
      </c>
      <c r="I44" s="1794"/>
      <c r="J44" s="1802"/>
    </row>
    <row r="45" spans="2:10" s="1803" customFormat="1" ht="14.25" customHeight="1">
      <c r="B45" s="2169"/>
      <c r="C45" s="2172"/>
      <c r="D45" s="1792" t="s">
        <v>1946</v>
      </c>
      <c r="E45" s="1793">
        <v>0</v>
      </c>
      <c r="F45" s="1793">
        <v>195440000</v>
      </c>
      <c r="G45" s="1793">
        <v>0</v>
      </c>
      <c r="H45" s="1796">
        <f>SUM(E45:G45)</f>
        <v>195440000</v>
      </c>
      <c r="I45" s="1794"/>
      <c r="J45" s="1802"/>
    </row>
    <row r="46" spans="2:10" s="1803" customFormat="1" ht="14.25" customHeight="1">
      <c r="B46" s="2169"/>
      <c r="C46" s="2172"/>
      <c r="D46" s="1792" t="s">
        <v>1947</v>
      </c>
      <c r="E46" s="1793">
        <v>9283118</v>
      </c>
      <c r="F46" s="1793">
        <v>15065441</v>
      </c>
      <c r="G46" s="1793">
        <v>-9283118</v>
      </c>
      <c r="H46" s="1796">
        <f t="shared" si="0"/>
        <v>15065441</v>
      </c>
      <c r="I46" s="1794"/>
      <c r="J46" s="1802"/>
    </row>
    <row r="47" spans="2:10" s="1803" customFormat="1" ht="14.25" customHeight="1">
      <c r="B47" s="1819">
        <v>21</v>
      </c>
      <c r="C47" s="1820" t="s">
        <v>1447</v>
      </c>
      <c r="D47" s="1792" t="s">
        <v>1946</v>
      </c>
      <c r="E47" s="1810">
        <v>0</v>
      </c>
      <c r="F47" s="1810">
        <f>28980000+250858000</f>
        <v>279838000</v>
      </c>
      <c r="G47" s="1810">
        <v>0</v>
      </c>
      <c r="H47" s="1796">
        <f t="shared" si="0"/>
        <v>279838000</v>
      </c>
      <c r="I47" s="1794"/>
      <c r="J47" s="1802"/>
    </row>
    <row r="48" spans="2:10" s="1803" customFormat="1" ht="14.25" customHeight="1">
      <c r="B48" s="2174">
        <v>22</v>
      </c>
      <c r="C48" s="2177" t="s">
        <v>1581</v>
      </c>
      <c r="D48" s="1792" t="s">
        <v>1946</v>
      </c>
      <c r="E48" s="1796">
        <v>60225600</v>
      </c>
      <c r="F48" s="1796">
        <f>229967000+29488000</f>
        <v>259455000</v>
      </c>
      <c r="G48" s="1796">
        <v>-60225600</v>
      </c>
      <c r="H48" s="1796">
        <f t="shared" si="0"/>
        <v>259455000</v>
      </c>
      <c r="I48" s="1794"/>
      <c r="J48" s="1802"/>
    </row>
    <row r="49" spans="2:10" s="1803" customFormat="1" ht="14.25" customHeight="1">
      <c r="B49" s="2175"/>
      <c r="C49" s="2178"/>
      <c r="D49" s="1792" t="s">
        <v>1950</v>
      </c>
      <c r="E49" s="1796">
        <v>106860</v>
      </c>
      <c r="F49" s="1796">
        <v>384868</v>
      </c>
      <c r="G49" s="1796">
        <v>-106860</v>
      </c>
      <c r="H49" s="1796">
        <f t="shared" si="0"/>
        <v>384868</v>
      </c>
      <c r="I49" s="1794"/>
      <c r="J49" s="1802"/>
    </row>
    <row r="50" spans="2:10" s="1803" customFormat="1" ht="14.25" customHeight="1">
      <c r="B50" s="2175"/>
      <c r="C50" s="2178"/>
      <c r="D50" s="1792" t="s">
        <v>1947</v>
      </c>
      <c r="E50" s="1796">
        <v>3246787</v>
      </c>
      <c r="F50" s="1796">
        <v>1826894</v>
      </c>
      <c r="G50" s="1796">
        <v>-3246787</v>
      </c>
      <c r="H50" s="1796">
        <f t="shared" si="0"/>
        <v>1826894</v>
      </c>
      <c r="I50" s="1794"/>
      <c r="J50" s="1802"/>
    </row>
    <row r="51" spans="2:10" s="1803" customFormat="1" ht="14.25" customHeight="1">
      <c r="B51" s="2176"/>
      <c r="C51" s="2179"/>
      <c r="D51" s="1792" t="s">
        <v>1952</v>
      </c>
      <c r="E51" s="1796">
        <v>1449000</v>
      </c>
      <c r="F51" s="1796">
        <v>1438000</v>
      </c>
      <c r="G51" s="1796">
        <v>-1449000</v>
      </c>
      <c r="H51" s="1796">
        <f t="shared" si="0"/>
        <v>1438000</v>
      </c>
      <c r="I51" s="1794"/>
      <c r="J51" s="1802"/>
    </row>
    <row r="52" spans="2:10" s="1803" customFormat="1" ht="14.25" customHeight="1">
      <c r="B52" s="1821">
        <v>23</v>
      </c>
      <c r="C52" s="1822" t="s">
        <v>55</v>
      </c>
      <c r="D52" s="1792" t="s">
        <v>1946</v>
      </c>
      <c r="E52" s="1796">
        <v>0</v>
      </c>
      <c r="F52" s="1796">
        <v>403299000</v>
      </c>
      <c r="G52" s="1796"/>
      <c r="H52" s="1796">
        <f t="shared" si="0"/>
        <v>403299000</v>
      </c>
      <c r="I52" s="1794"/>
      <c r="J52" s="1802"/>
    </row>
    <row r="53" spans="2:10" s="1803" customFormat="1" ht="14.25" customHeight="1">
      <c r="B53" s="2174">
        <v>24</v>
      </c>
      <c r="C53" s="2177" t="s">
        <v>1582</v>
      </c>
      <c r="D53" s="1792" t="s">
        <v>1946</v>
      </c>
      <c r="E53" s="1796">
        <v>0</v>
      </c>
      <c r="F53" s="1796">
        <f>522177000+46886000</f>
        <v>569063000</v>
      </c>
      <c r="G53" s="1796">
        <v>0</v>
      </c>
      <c r="H53" s="1796">
        <f t="shared" si="0"/>
        <v>569063000</v>
      </c>
      <c r="I53" s="1794"/>
      <c r="J53" s="1802"/>
    </row>
    <row r="54" spans="2:10" s="1803" customFormat="1" ht="14.25" customHeight="1">
      <c r="B54" s="2176"/>
      <c r="C54" s="2179"/>
      <c r="D54" s="1792" t="s">
        <v>1947</v>
      </c>
      <c r="E54" s="1796">
        <v>0</v>
      </c>
      <c r="F54" s="1796">
        <v>5215310</v>
      </c>
      <c r="G54" s="1796">
        <v>0</v>
      </c>
      <c r="H54" s="1796">
        <f t="shared" si="0"/>
        <v>5215310</v>
      </c>
      <c r="I54" s="1794"/>
      <c r="J54" s="1802"/>
    </row>
    <row r="55" spans="2:10" s="1803" customFormat="1" ht="14.25" customHeight="1">
      <c r="B55" s="2174">
        <v>25</v>
      </c>
      <c r="C55" s="2177" t="s">
        <v>100</v>
      </c>
      <c r="D55" s="1792" t="s">
        <v>1946</v>
      </c>
      <c r="E55" s="1796">
        <v>0</v>
      </c>
      <c r="F55" s="1796">
        <f>703214500+88572000</f>
        <v>791786500</v>
      </c>
      <c r="G55" s="1796">
        <v>0</v>
      </c>
      <c r="H55" s="1796">
        <f t="shared" si="0"/>
        <v>791786500</v>
      </c>
      <c r="I55" s="1794"/>
      <c r="J55" s="1802"/>
    </row>
    <row r="56" spans="2:10" s="1803" customFormat="1" ht="14.25" customHeight="1">
      <c r="B56" s="2175"/>
      <c r="C56" s="2178"/>
      <c r="D56" s="1792" t="s">
        <v>1950</v>
      </c>
      <c r="E56" s="1796">
        <v>0</v>
      </c>
      <c r="F56" s="1796">
        <v>1078719</v>
      </c>
      <c r="G56" s="1796">
        <v>0</v>
      </c>
      <c r="H56" s="1796">
        <f t="shared" si="0"/>
        <v>1078719</v>
      </c>
      <c r="I56" s="1794"/>
      <c r="J56" s="1802"/>
    </row>
    <row r="57" spans="2:10" s="1803" customFormat="1" ht="14.25" customHeight="1">
      <c r="B57" s="2175"/>
      <c r="C57" s="2178"/>
      <c r="D57" s="1792" t="s">
        <v>1952</v>
      </c>
      <c r="E57" s="1796">
        <v>0</v>
      </c>
      <c r="F57" s="1796">
        <f>605800+1308250</f>
        <v>1914050</v>
      </c>
      <c r="G57" s="1796">
        <v>0</v>
      </c>
      <c r="H57" s="1796">
        <f t="shared" si="0"/>
        <v>1914050</v>
      </c>
      <c r="I57" s="1794"/>
      <c r="J57" s="1802"/>
    </row>
    <row r="58" spans="2:10" s="1803" customFormat="1" ht="14.25" customHeight="1">
      <c r="B58" s="2176"/>
      <c r="C58" s="2179"/>
      <c r="D58" s="1792" t="s">
        <v>1947</v>
      </c>
      <c r="E58" s="1796">
        <v>0</v>
      </c>
      <c r="F58" s="1796">
        <v>5532412</v>
      </c>
      <c r="G58" s="1796">
        <v>0</v>
      </c>
      <c r="H58" s="1796">
        <f t="shared" si="0"/>
        <v>5532412</v>
      </c>
      <c r="I58" s="1794"/>
      <c r="J58" s="1802"/>
    </row>
    <row r="59" spans="2:10" s="1803" customFormat="1" ht="14.25" customHeight="1">
      <c r="B59" s="1823">
        <v>26</v>
      </c>
      <c r="C59" s="1824" t="s">
        <v>1453</v>
      </c>
      <c r="D59" s="1792" t="s">
        <v>1946</v>
      </c>
      <c r="E59" s="1793">
        <v>0</v>
      </c>
      <c r="F59" s="1793">
        <f>474217000+53660000+1900000</f>
        <v>529777000</v>
      </c>
      <c r="G59" s="1793"/>
      <c r="H59" s="1796">
        <f t="shared" si="0"/>
        <v>529777000</v>
      </c>
      <c r="I59" s="1794">
        <f>H59+1900000</f>
        <v>531677000</v>
      </c>
      <c r="J59" s="1802"/>
    </row>
    <row r="60" spans="2:10" s="1803" customFormat="1" ht="14.25" customHeight="1">
      <c r="B60" s="1811">
        <v>27</v>
      </c>
      <c r="C60" s="1812" t="s">
        <v>44</v>
      </c>
      <c r="D60" s="1792" t="s">
        <v>1946</v>
      </c>
      <c r="E60" s="1796">
        <v>4225104</v>
      </c>
      <c r="F60" s="1796">
        <f>353018000+3580000+43648000</f>
        <v>400246000</v>
      </c>
      <c r="G60" s="1796">
        <v>-4225104</v>
      </c>
      <c r="H60" s="1796">
        <f t="shared" si="0"/>
        <v>400246000</v>
      </c>
      <c r="I60" s="1794"/>
      <c r="J60" s="1802"/>
    </row>
    <row r="61" spans="2:10" s="1803" customFormat="1" ht="24.75" customHeight="1">
      <c r="B61" s="1840">
        <v>28</v>
      </c>
      <c r="C61" s="1825" t="s">
        <v>1583</v>
      </c>
      <c r="D61" s="1792" t="s">
        <v>1946</v>
      </c>
      <c r="E61" s="1807">
        <v>0</v>
      </c>
      <c r="F61" s="1807">
        <f>268682000+29942000</f>
        <v>298624000</v>
      </c>
      <c r="G61" s="1807">
        <v>0</v>
      </c>
      <c r="H61" s="1796">
        <f t="shared" si="0"/>
        <v>298624000</v>
      </c>
      <c r="I61" s="1794"/>
      <c r="J61" s="1802"/>
    </row>
    <row r="62" spans="2:10" s="1803" customFormat="1" ht="14.25" customHeight="1">
      <c r="B62" s="2168">
        <v>29</v>
      </c>
      <c r="C62" s="2171" t="s">
        <v>1584</v>
      </c>
      <c r="D62" s="1792" t="s">
        <v>1946</v>
      </c>
      <c r="E62" s="1793">
        <v>0</v>
      </c>
      <c r="F62" s="1793">
        <f>928424000+164578000</f>
        <v>1093002000</v>
      </c>
      <c r="G62" s="1793">
        <v>0</v>
      </c>
      <c r="H62" s="1796">
        <f t="shared" si="0"/>
        <v>1093002000</v>
      </c>
      <c r="I62" s="1794"/>
      <c r="J62" s="1802"/>
    </row>
    <row r="63" spans="2:10" s="1803" customFormat="1" ht="14.25" customHeight="1">
      <c r="B63" s="2169"/>
      <c r="C63" s="2172"/>
      <c r="D63" s="1792" t="s">
        <v>1956</v>
      </c>
      <c r="E63" s="1793">
        <v>26700000</v>
      </c>
      <c r="F63" s="1793">
        <v>0</v>
      </c>
      <c r="G63" s="1793">
        <v>0</v>
      </c>
      <c r="H63" s="1796">
        <f>SUM(E63:G63)</f>
        <v>26700000</v>
      </c>
      <c r="I63" s="1794"/>
      <c r="J63" s="1802"/>
    </row>
    <row r="64" spans="2:10" s="1803" customFormat="1" ht="14.25" customHeight="1">
      <c r="B64" s="2169"/>
      <c r="C64" s="2172"/>
      <c r="D64" s="1826" t="s">
        <v>1957</v>
      </c>
      <c r="E64" s="1793">
        <v>9602</v>
      </c>
      <c r="F64" s="1793">
        <v>0</v>
      </c>
      <c r="G64" s="1793">
        <v>0</v>
      </c>
      <c r="H64" s="1796">
        <f t="shared" si="0"/>
        <v>9602</v>
      </c>
      <c r="I64" s="1794"/>
      <c r="J64" s="1802"/>
    </row>
    <row r="65" spans="2:10" s="1803" customFormat="1" ht="14.25" customHeight="1">
      <c r="B65" s="2169"/>
      <c r="C65" s="2172"/>
      <c r="D65" s="1792" t="s">
        <v>1946</v>
      </c>
      <c r="E65" s="1793">
        <v>0</v>
      </c>
      <c r="F65" s="1793">
        <v>8971721.4199999999</v>
      </c>
      <c r="G65" s="1793">
        <v>0</v>
      </c>
      <c r="H65" s="1796">
        <f t="shared" si="0"/>
        <v>8971721.4199999999</v>
      </c>
      <c r="I65" s="1794"/>
      <c r="J65" s="1802"/>
    </row>
    <row r="66" spans="2:10" s="1803" customFormat="1" ht="14.25" customHeight="1">
      <c r="B66" s="2169"/>
      <c r="C66" s="2172"/>
      <c r="D66" s="1792" t="s">
        <v>1958</v>
      </c>
      <c r="E66" s="1793">
        <v>49315080</v>
      </c>
      <c r="F66" s="1793">
        <v>0</v>
      </c>
      <c r="G66" s="1793">
        <v>0</v>
      </c>
      <c r="H66" s="1796">
        <f>SUM(E66:G66)</f>
        <v>49315080</v>
      </c>
      <c r="I66" s="1794"/>
      <c r="J66" s="1802"/>
    </row>
    <row r="67" spans="2:10" s="1803" customFormat="1" ht="14.25" customHeight="1">
      <c r="B67" s="2174">
        <v>30</v>
      </c>
      <c r="C67" s="2177" t="s">
        <v>1585</v>
      </c>
      <c r="D67" s="1792" t="s">
        <v>1946</v>
      </c>
      <c r="E67" s="1796">
        <v>0</v>
      </c>
      <c r="F67" s="1796">
        <f>433593800+47078000</f>
        <v>480671800</v>
      </c>
      <c r="G67" s="1793">
        <v>0</v>
      </c>
      <c r="H67" s="1796">
        <f t="shared" si="0"/>
        <v>480671800</v>
      </c>
      <c r="I67" s="1794"/>
      <c r="J67" s="1802"/>
    </row>
    <row r="68" spans="2:10" s="1797" customFormat="1" ht="14.25" customHeight="1">
      <c r="B68" s="2175"/>
      <c r="C68" s="2178"/>
      <c r="D68" s="1827" t="s">
        <v>1959</v>
      </c>
      <c r="E68" s="1796">
        <v>17254000</v>
      </c>
      <c r="F68" s="1793">
        <v>0</v>
      </c>
      <c r="G68" s="1796">
        <v>-17254000</v>
      </c>
      <c r="H68" s="1796">
        <f t="shared" si="0"/>
        <v>0</v>
      </c>
      <c r="I68" s="1794"/>
      <c r="J68" s="1794"/>
    </row>
    <row r="69" spans="2:10" s="1797" customFormat="1" ht="14.25" customHeight="1">
      <c r="B69" s="2175"/>
      <c r="C69" s="2178"/>
      <c r="D69" s="1828" t="s">
        <v>1947</v>
      </c>
      <c r="E69" s="1796">
        <v>7697047</v>
      </c>
      <c r="F69" s="1793">
        <v>0</v>
      </c>
      <c r="G69" s="1796">
        <v>-7697047</v>
      </c>
      <c r="H69" s="1796">
        <f t="shared" si="0"/>
        <v>0</v>
      </c>
      <c r="I69" s="1794"/>
      <c r="J69" s="1794"/>
    </row>
    <row r="70" spans="2:10" s="1797" customFormat="1" ht="14.25" customHeight="1">
      <c r="B70" s="2175"/>
      <c r="C70" s="2178"/>
      <c r="D70" s="1827" t="s">
        <v>1960</v>
      </c>
      <c r="E70" s="1796">
        <v>1089100</v>
      </c>
      <c r="F70" s="1793">
        <v>0</v>
      </c>
      <c r="G70" s="1796">
        <v>-1089100</v>
      </c>
      <c r="H70" s="1796">
        <f t="shared" si="0"/>
        <v>0</v>
      </c>
      <c r="I70" s="1794"/>
      <c r="J70" s="1794"/>
    </row>
    <row r="71" spans="2:10" s="1797" customFormat="1" ht="14.25" customHeight="1">
      <c r="B71" s="2176"/>
      <c r="C71" s="2179"/>
      <c r="D71" s="1792" t="s">
        <v>1952</v>
      </c>
      <c r="E71" s="1796">
        <v>401201</v>
      </c>
      <c r="F71" s="1793">
        <v>0</v>
      </c>
      <c r="G71" s="1796">
        <v>-401201</v>
      </c>
      <c r="H71" s="1796">
        <f t="shared" si="0"/>
        <v>0</v>
      </c>
      <c r="I71" s="1794"/>
      <c r="J71" s="1794"/>
    </row>
    <row r="72" spans="2:10" s="1797" customFormat="1" ht="14.25" customHeight="1">
      <c r="B72" s="2180">
        <v>31</v>
      </c>
      <c r="C72" s="2171" t="s">
        <v>1586</v>
      </c>
      <c r="D72" s="1792" t="s">
        <v>1946</v>
      </c>
      <c r="E72" s="1793">
        <v>0</v>
      </c>
      <c r="F72" s="1793">
        <f>366544000+11982000</f>
        <v>378526000</v>
      </c>
      <c r="G72" s="1793">
        <v>0</v>
      </c>
      <c r="H72" s="1796">
        <f>SUM(E72:G72)</f>
        <v>378526000</v>
      </c>
      <c r="I72" s="1794"/>
      <c r="J72" s="1794"/>
    </row>
    <row r="73" spans="2:10" s="1797" customFormat="1" ht="14.25" customHeight="1">
      <c r="B73" s="2181"/>
      <c r="C73" s="2172"/>
      <c r="D73" s="1828" t="s">
        <v>1947</v>
      </c>
      <c r="E73" s="1810">
        <v>7967027</v>
      </c>
      <c r="F73" s="1793">
        <v>0</v>
      </c>
      <c r="G73" s="1810">
        <v>-7967027</v>
      </c>
      <c r="H73" s="1796">
        <f>SUM(E73:G73)</f>
        <v>0</v>
      </c>
      <c r="I73" s="1794"/>
      <c r="J73" s="1794"/>
    </row>
    <row r="74" spans="2:10" s="1797" customFormat="1" ht="14.25" customHeight="1">
      <c r="B74" s="2181"/>
      <c r="C74" s="2172"/>
      <c r="D74" s="1792" t="s">
        <v>1950</v>
      </c>
      <c r="E74" s="1793">
        <v>483627</v>
      </c>
      <c r="F74" s="1793">
        <v>0</v>
      </c>
      <c r="G74" s="1793">
        <v>-483627</v>
      </c>
      <c r="H74" s="1796">
        <f t="shared" si="0"/>
        <v>0</v>
      </c>
      <c r="I74" s="1794"/>
      <c r="J74" s="1794"/>
    </row>
    <row r="75" spans="2:10" s="1797" customFormat="1" ht="14.25" customHeight="1">
      <c r="B75" s="2181"/>
      <c r="C75" s="2172"/>
      <c r="D75" s="1792" t="s">
        <v>1952</v>
      </c>
      <c r="E75" s="1793">
        <v>1991950</v>
      </c>
      <c r="F75" s="1793">
        <v>0</v>
      </c>
      <c r="G75" s="1793">
        <v>-1991950</v>
      </c>
      <c r="H75" s="1796">
        <f t="shared" ref="H75:H89" si="1">SUM(E75:G75)</f>
        <v>0</v>
      </c>
      <c r="I75" s="1794"/>
      <c r="J75" s="1794"/>
    </row>
    <row r="76" spans="2:10" s="1797" customFormat="1" ht="14.25" customHeight="1">
      <c r="B76" s="2168">
        <v>32</v>
      </c>
      <c r="C76" s="2171" t="s">
        <v>1587</v>
      </c>
      <c r="D76" s="1792" t="s">
        <v>1946</v>
      </c>
      <c r="E76" s="1793">
        <v>0</v>
      </c>
      <c r="F76" s="1793">
        <f>1448632200+165610000</f>
        <v>1614242200</v>
      </c>
      <c r="G76" s="1793">
        <v>0</v>
      </c>
      <c r="H76" s="1796">
        <f>SUM(E76:G76)</f>
        <v>1614242200</v>
      </c>
      <c r="I76" s="1794"/>
      <c r="J76" s="1794"/>
    </row>
    <row r="77" spans="2:10" s="1797" customFormat="1" ht="14.25" customHeight="1">
      <c r="B77" s="2169"/>
      <c r="C77" s="2172"/>
      <c r="D77" s="1792" t="s">
        <v>1952</v>
      </c>
      <c r="E77" s="1793">
        <v>0</v>
      </c>
      <c r="F77" s="1793">
        <v>470000</v>
      </c>
      <c r="G77" s="1793">
        <v>0</v>
      </c>
      <c r="H77" s="1796">
        <f>SUM(E77:G77)</f>
        <v>470000</v>
      </c>
      <c r="I77" s="1794"/>
      <c r="J77" s="1794"/>
    </row>
    <row r="78" spans="2:10" s="1797" customFormat="1" ht="14.25" customHeight="1">
      <c r="B78" s="2169"/>
      <c r="C78" s="2172"/>
      <c r="D78" s="1792" t="s">
        <v>1950</v>
      </c>
      <c r="E78" s="1793">
        <v>78892039</v>
      </c>
      <c r="F78" s="1793">
        <v>91436615</v>
      </c>
      <c r="G78" s="1793">
        <f>-17662914-61229125</f>
        <v>-78892039</v>
      </c>
      <c r="H78" s="1796">
        <f t="shared" si="1"/>
        <v>91436615</v>
      </c>
      <c r="I78" s="1794"/>
      <c r="J78" s="1794"/>
    </row>
    <row r="79" spans="2:10" s="1797" customFormat="1" ht="14.25" customHeight="1">
      <c r="B79" s="2169"/>
      <c r="C79" s="2172"/>
      <c r="D79" s="1792" t="s">
        <v>1961</v>
      </c>
      <c r="E79" s="1793">
        <v>181402050</v>
      </c>
      <c r="F79" s="1793">
        <v>107487800</v>
      </c>
      <c r="G79" s="1793">
        <v>-181402050</v>
      </c>
      <c r="H79" s="1796">
        <f t="shared" si="1"/>
        <v>107487800</v>
      </c>
      <c r="I79" s="1794"/>
      <c r="J79" s="1794"/>
    </row>
    <row r="80" spans="2:10" s="1803" customFormat="1" ht="14.25" customHeight="1">
      <c r="B80" s="2170"/>
      <c r="C80" s="2173"/>
      <c r="D80" s="1828" t="s">
        <v>1947</v>
      </c>
      <c r="E80" s="1793">
        <v>166549043</v>
      </c>
      <c r="F80" s="1793">
        <v>181600094</v>
      </c>
      <c r="G80" s="1793">
        <v>-166549043</v>
      </c>
      <c r="H80" s="1796">
        <f t="shared" si="1"/>
        <v>181600094</v>
      </c>
      <c r="I80" s="1794"/>
      <c r="J80" s="1802"/>
    </row>
    <row r="81" spans="1:11" s="1803" customFormat="1" ht="14.25" customHeight="1">
      <c r="B81" s="2168">
        <v>33</v>
      </c>
      <c r="C81" s="2171" t="s">
        <v>1588</v>
      </c>
      <c r="D81" s="1792" t="s">
        <v>1945</v>
      </c>
      <c r="E81" s="1793">
        <v>7934887</v>
      </c>
      <c r="F81" s="1793">
        <f>1733181+9177273</f>
        <v>10910454</v>
      </c>
      <c r="G81" s="1793">
        <v>-7934887</v>
      </c>
      <c r="H81" s="1796">
        <f>SUM(E81:G81)</f>
        <v>10910454</v>
      </c>
      <c r="I81" s="1794"/>
      <c r="J81" s="1802"/>
    </row>
    <row r="82" spans="1:11" s="1803" customFormat="1" ht="14.25" customHeight="1">
      <c r="B82" s="2169"/>
      <c r="C82" s="2172"/>
      <c r="D82" s="1792" t="s">
        <v>1946</v>
      </c>
      <c r="E82" s="1793">
        <v>0</v>
      </c>
      <c r="F82" s="1793">
        <f>235127200+23766000</f>
        <v>258893200</v>
      </c>
      <c r="G82" s="1793">
        <v>0</v>
      </c>
      <c r="H82" s="1796">
        <f>SUM(E82:G82)</f>
        <v>258893200</v>
      </c>
      <c r="I82" s="1794"/>
      <c r="J82" s="1802"/>
    </row>
    <row r="83" spans="1:11" s="1803" customFormat="1" ht="14.25" customHeight="1">
      <c r="B83" s="2169"/>
      <c r="C83" s="2172"/>
      <c r="D83" s="1828" t="s">
        <v>1947</v>
      </c>
      <c r="E83" s="1793">
        <v>0</v>
      </c>
      <c r="F83" s="1793">
        <v>60019533</v>
      </c>
      <c r="G83" s="1793">
        <v>0</v>
      </c>
      <c r="H83" s="1796">
        <f t="shared" si="1"/>
        <v>60019533</v>
      </c>
      <c r="I83" s="1794"/>
      <c r="J83" s="1802"/>
    </row>
    <row r="84" spans="1:11" s="1803" customFormat="1" ht="14.25" customHeight="1">
      <c r="B84" s="2169"/>
      <c r="C84" s="2172"/>
      <c r="D84" s="1792" t="s">
        <v>1950</v>
      </c>
      <c r="E84" s="1793">
        <v>0</v>
      </c>
      <c r="F84" s="1793">
        <v>2596394</v>
      </c>
      <c r="G84" s="1793">
        <v>0</v>
      </c>
      <c r="H84" s="1796">
        <f t="shared" si="1"/>
        <v>2596394</v>
      </c>
      <c r="I84" s="1794"/>
      <c r="J84" s="1802"/>
    </row>
    <row r="85" spans="1:11" s="1803" customFormat="1" ht="14.25" customHeight="1">
      <c r="B85" s="2170"/>
      <c r="C85" s="2173"/>
      <c r="D85" s="1792" t="s">
        <v>1952</v>
      </c>
      <c r="E85" s="1793">
        <v>0</v>
      </c>
      <c r="F85" s="1793">
        <v>9257300</v>
      </c>
      <c r="G85" s="1793">
        <v>0</v>
      </c>
      <c r="H85" s="1796">
        <f t="shared" si="1"/>
        <v>9257300</v>
      </c>
      <c r="I85" s="1794"/>
      <c r="J85" s="1802"/>
    </row>
    <row r="86" spans="1:11" s="1803" customFormat="1" ht="14.25" customHeight="1">
      <c r="B86" s="1798">
        <v>34</v>
      </c>
      <c r="C86" s="1799" t="s">
        <v>50</v>
      </c>
      <c r="D86" s="1792" t="s">
        <v>1946</v>
      </c>
      <c r="E86" s="1793">
        <v>5640000</v>
      </c>
      <c r="F86" s="1793">
        <f>96000000+15502000</f>
        <v>111502000</v>
      </c>
      <c r="G86" s="1793">
        <v>-5640000</v>
      </c>
      <c r="H86" s="1796">
        <f t="shared" si="1"/>
        <v>111502000</v>
      </c>
      <c r="I86" s="1794"/>
      <c r="J86" s="1802"/>
    </row>
    <row r="87" spans="1:11" ht="14.25" customHeight="1">
      <c r="B87" s="2174">
        <v>35</v>
      </c>
      <c r="C87" s="2177" t="s">
        <v>181</v>
      </c>
      <c r="D87" s="1828" t="s">
        <v>1949</v>
      </c>
      <c r="E87" s="1796">
        <v>70166354132</v>
      </c>
      <c r="F87" s="1796">
        <f>178203201788.3+23825019122</f>
        <v>202028220910.29999</v>
      </c>
      <c r="G87" s="1796">
        <f>-70166354132</f>
        <v>-70166354132</v>
      </c>
      <c r="H87" s="1796">
        <f t="shared" si="1"/>
        <v>202028220910.29999</v>
      </c>
    </row>
    <row r="88" spans="1:11" s="1829" customFormat="1" ht="14.25" customHeight="1">
      <c r="B88" s="2175"/>
      <c r="C88" s="2178"/>
      <c r="D88" s="1830" t="s">
        <v>1962</v>
      </c>
      <c r="E88" s="1793"/>
      <c r="F88" s="1793">
        <v>330000</v>
      </c>
      <c r="G88" s="1793"/>
      <c r="H88" s="1793">
        <f t="shared" si="1"/>
        <v>330000</v>
      </c>
      <c r="I88" s="1831"/>
      <c r="J88" s="1831"/>
    </row>
    <row r="89" spans="1:11" ht="14.25" customHeight="1">
      <c r="B89" s="2176"/>
      <c r="C89" s="2179"/>
      <c r="D89" s="1828"/>
      <c r="E89" s="1796"/>
      <c r="F89" s="1796"/>
      <c r="G89" s="1796"/>
      <c r="H89" s="1796">
        <f t="shared" si="1"/>
        <v>0</v>
      </c>
    </row>
    <row r="90" spans="1:11" ht="14.25" customHeight="1">
      <c r="B90" s="2165" t="s">
        <v>197</v>
      </c>
      <c r="C90" s="2166"/>
      <c r="D90" s="2167"/>
      <c r="E90" s="1832">
        <f>SUM(E6:E89)</f>
        <v>71075327807</v>
      </c>
      <c r="F90" s="1832">
        <f>SUM(F8:F89)</f>
        <v>223651590441.71997</v>
      </c>
      <c r="G90" s="1832">
        <f>SUM(G8:G89)</f>
        <v>-70860742704</v>
      </c>
      <c r="H90" s="1832">
        <f>SUM(H6:H89)</f>
        <v>223874892226.71997</v>
      </c>
      <c r="K90" s="1833"/>
    </row>
    <row r="91" spans="1:11">
      <c r="B91" s="1786"/>
      <c r="C91" s="1787"/>
      <c r="D91" s="1788"/>
      <c r="E91" s="1788"/>
      <c r="F91" s="1788"/>
      <c r="G91" s="1788"/>
      <c r="H91" s="1789"/>
    </row>
    <row r="92" spans="1:11" s="1784" customFormat="1">
      <c r="A92" s="1797"/>
      <c r="B92" s="1834"/>
      <c r="C92" s="1835"/>
      <c r="D92" s="1785"/>
      <c r="E92" s="1836"/>
      <c r="F92" s="1836"/>
      <c r="G92" s="1836"/>
      <c r="H92" s="1837"/>
      <c r="K92" s="1785"/>
    </row>
    <row r="93" spans="1:11" s="1784" customFormat="1">
      <c r="A93" s="1797"/>
      <c r="B93" s="1834"/>
      <c r="C93" s="1835"/>
      <c r="D93" s="1785"/>
      <c r="E93" s="1785"/>
      <c r="G93" s="1838"/>
      <c r="H93" s="1837"/>
      <c r="K93" s="1785"/>
    </row>
    <row r="94" spans="1:11" s="1784" customFormat="1">
      <c r="A94" s="1797"/>
      <c r="B94" s="1834"/>
      <c r="C94" s="1835"/>
      <c r="D94" s="1785"/>
      <c r="E94" s="1785"/>
      <c r="G94" s="1838"/>
      <c r="H94" s="1837"/>
      <c r="K94" s="1785"/>
    </row>
    <row r="95" spans="1:11" s="1784" customFormat="1">
      <c r="A95" s="1797"/>
      <c r="B95" s="1834"/>
      <c r="C95" s="1835"/>
      <c r="D95" s="1785"/>
      <c r="E95" s="1785"/>
      <c r="F95" s="1785"/>
      <c r="G95" s="1838"/>
      <c r="H95" s="1837"/>
      <c r="K95" s="1785"/>
    </row>
    <row r="96" spans="1:11" s="1784" customFormat="1">
      <c r="A96" s="1797"/>
      <c r="B96" s="1834"/>
      <c r="C96" s="1835"/>
      <c r="D96" s="1785"/>
      <c r="E96" s="1785"/>
      <c r="F96" s="1785"/>
      <c r="G96" s="1838"/>
      <c r="H96" s="1837"/>
      <c r="K96" s="1785"/>
    </row>
    <row r="97" spans="1:11" s="1784" customFormat="1">
      <c r="A97" s="1797"/>
      <c r="B97" s="1834"/>
      <c r="C97" s="1835"/>
      <c r="D97" s="1785"/>
      <c r="E97" s="1785"/>
      <c r="F97" s="1836"/>
      <c r="G97" s="1839"/>
      <c r="H97" s="1837"/>
      <c r="K97" s="1785"/>
    </row>
    <row r="98" spans="1:11" s="1784" customFormat="1">
      <c r="A98" s="1797"/>
      <c r="B98" s="1834"/>
      <c r="C98" s="1835"/>
      <c r="D98" s="1785"/>
      <c r="E98" s="1785"/>
      <c r="F98" s="1785"/>
      <c r="G98" s="1839"/>
      <c r="H98" s="1837"/>
      <c r="K98" s="1785"/>
    </row>
    <row r="99" spans="1:11" s="1784" customFormat="1">
      <c r="A99" s="1797"/>
      <c r="B99" s="1834"/>
      <c r="C99" s="1835"/>
      <c r="D99" s="1785"/>
      <c r="E99" s="1836"/>
      <c r="F99" s="1785"/>
      <c r="G99" s="1839"/>
      <c r="H99" s="1837"/>
      <c r="K99" s="1785"/>
    </row>
    <row r="100" spans="1:11" s="1784" customFormat="1">
      <c r="A100" s="1797"/>
      <c r="B100" s="1834"/>
      <c r="C100" s="1835"/>
      <c r="D100" s="1785"/>
      <c r="E100" s="1785"/>
      <c r="F100" s="1785"/>
      <c r="G100" s="1839"/>
      <c r="H100" s="1797"/>
      <c r="K100" s="1785"/>
    </row>
  </sheetData>
  <mergeCells count="43">
    <mergeCell ref="B2:H2"/>
    <mergeCell ref="B3:H3"/>
    <mergeCell ref="B6:B8"/>
    <mergeCell ref="C6:C8"/>
    <mergeCell ref="B9:B11"/>
    <mergeCell ref="C9:C11"/>
    <mergeCell ref="B12:B13"/>
    <mergeCell ref="C12:C13"/>
    <mergeCell ref="B18:B20"/>
    <mergeCell ref="C18:C20"/>
    <mergeCell ref="B21:B25"/>
    <mergeCell ref="C21:C25"/>
    <mergeCell ref="B26:B28"/>
    <mergeCell ref="C26:C28"/>
    <mergeCell ref="B29:B30"/>
    <mergeCell ref="C29:C30"/>
    <mergeCell ref="B33:B34"/>
    <mergeCell ref="C33:C34"/>
    <mergeCell ref="B36:B39"/>
    <mergeCell ref="C36:C39"/>
    <mergeCell ref="B41:B42"/>
    <mergeCell ref="C41:C42"/>
    <mergeCell ref="B44:B46"/>
    <mergeCell ref="C44:C46"/>
    <mergeCell ref="B48:B51"/>
    <mergeCell ref="C48:C51"/>
    <mergeCell ref="B53:B54"/>
    <mergeCell ref="C53:C54"/>
    <mergeCell ref="B55:B58"/>
    <mergeCell ref="C55:C58"/>
    <mergeCell ref="B62:B66"/>
    <mergeCell ref="C62:C66"/>
    <mergeCell ref="B67:B71"/>
    <mergeCell ref="C67:C71"/>
    <mergeCell ref="B72:B75"/>
    <mergeCell ref="C72:C75"/>
    <mergeCell ref="B90:D90"/>
    <mergeCell ref="B76:B80"/>
    <mergeCell ref="C76:C80"/>
    <mergeCell ref="B81:B85"/>
    <mergeCell ref="C81:C85"/>
    <mergeCell ref="B87:B89"/>
    <mergeCell ref="C87:C89"/>
  </mergeCells>
  <pageMargins left="0.79" right="0.12" top="0.48" bottom="0.2" header="0.16" footer="0.16"/>
  <pageSetup paperSize="9" scale="52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>
  <sheetPr>
    <tabColor rgb="FF00B0F0"/>
  </sheetPr>
  <dimension ref="B2:L119"/>
  <sheetViews>
    <sheetView workbookViewId="0">
      <selection activeCell="I13" sqref="I13"/>
    </sheetView>
  </sheetViews>
  <sheetFormatPr defaultColWidth="9.140625" defaultRowHeight="12.75"/>
  <cols>
    <col min="1" max="1" width="1.28515625" style="57" customWidth="1"/>
    <col min="2" max="2" width="3.7109375" style="57" customWidth="1"/>
    <col min="3" max="3" width="12.85546875" style="57" customWidth="1"/>
    <col min="4" max="4" width="13.5703125" style="57" customWidth="1"/>
    <col min="5" max="5" width="14.85546875" style="57" customWidth="1"/>
    <col min="6" max="7" width="13.5703125" style="57" customWidth="1"/>
    <col min="8" max="8" width="13.85546875" style="57" customWidth="1"/>
    <col min="9" max="10" width="14.140625" style="57" customWidth="1"/>
    <col min="11" max="11" width="17.7109375" style="57" customWidth="1"/>
    <col min="12" max="12" width="18" style="57" customWidth="1"/>
    <col min="13" max="13" width="9.140625" style="57"/>
    <col min="14" max="14" width="5" style="57" customWidth="1"/>
    <col min="15" max="15" width="18.140625" style="57" customWidth="1"/>
    <col min="16" max="19" width="17.7109375" style="57" customWidth="1"/>
    <col min="20" max="16384" width="9.140625" style="57"/>
  </cols>
  <sheetData>
    <row r="2" spans="2:12" ht="15">
      <c r="B2" s="2187" t="s">
        <v>0</v>
      </c>
      <c r="C2" s="2187"/>
      <c r="D2" s="2187"/>
      <c r="E2" s="2187"/>
      <c r="F2" s="2187"/>
      <c r="G2" s="2187"/>
      <c r="H2" s="2187"/>
      <c r="I2" s="2187"/>
      <c r="J2" s="2187"/>
      <c r="K2" s="77"/>
      <c r="L2" s="77"/>
    </row>
    <row r="3" spans="2:12" ht="15">
      <c r="B3" s="2187" t="s">
        <v>1963</v>
      </c>
      <c r="C3" s="2187"/>
      <c r="D3" s="2187"/>
      <c r="E3" s="2187"/>
      <c r="F3" s="2187"/>
      <c r="G3" s="2187"/>
      <c r="H3" s="2187"/>
      <c r="I3" s="2187"/>
      <c r="J3" s="2187"/>
      <c r="K3" s="77"/>
      <c r="L3" s="77"/>
    </row>
    <row r="4" spans="2:12" ht="15">
      <c r="B4" s="2187" t="s">
        <v>768</v>
      </c>
      <c r="C4" s="2187"/>
      <c r="D4" s="2187"/>
      <c r="E4" s="2187"/>
      <c r="F4" s="2187"/>
      <c r="G4" s="2187"/>
      <c r="H4" s="2187"/>
      <c r="I4" s="2187"/>
      <c r="J4" s="2187"/>
    </row>
    <row r="5" spans="2:12" s="56" customFormat="1" ht="12.75" customHeight="1">
      <c r="J5" s="54" t="s">
        <v>3</v>
      </c>
    </row>
    <row r="6" spans="2:12" s="56" customFormat="1" ht="36.75" customHeight="1">
      <c r="B6" s="58" t="s">
        <v>4</v>
      </c>
      <c r="C6" s="58" t="s">
        <v>114</v>
      </c>
      <c r="D6" s="58" t="s">
        <v>16</v>
      </c>
      <c r="E6" s="58" t="s">
        <v>17</v>
      </c>
      <c r="F6" s="58" t="s">
        <v>18</v>
      </c>
      <c r="G6" s="58" t="s">
        <v>19</v>
      </c>
      <c r="H6" s="59" t="s">
        <v>1964</v>
      </c>
      <c r="I6" s="59" t="s">
        <v>1965</v>
      </c>
      <c r="J6" s="58" t="s">
        <v>197</v>
      </c>
    </row>
    <row r="7" spans="2:12" s="56" customFormat="1" ht="11.25">
      <c r="B7" s="60"/>
      <c r="C7" s="60">
        <v>1</v>
      </c>
      <c r="D7" s="60">
        <v>2</v>
      </c>
      <c r="E7" s="60">
        <v>3</v>
      </c>
      <c r="F7" s="60">
        <v>4</v>
      </c>
      <c r="G7" s="60">
        <v>5</v>
      </c>
      <c r="H7" s="60">
        <v>6</v>
      </c>
      <c r="I7" s="60">
        <v>7</v>
      </c>
      <c r="J7" s="60" t="s">
        <v>1966</v>
      </c>
    </row>
    <row r="8" spans="2:12" s="56" customFormat="1" ht="11.25">
      <c r="B8" s="61">
        <v>1</v>
      </c>
      <c r="C8" s="62" t="s">
        <v>1967</v>
      </c>
      <c r="D8" s="62"/>
      <c r="E8" s="63"/>
      <c r="F8" s="63"/>
      <c r="G8" s="63"/>
      <c r="H8" s="63"/>
      <c r="I8" s="63"/>
      <c r="J8" s="63"/>
    </row>
    <row r="9" spans="2:12" s="56" customFormat="1" ht="11.25">
      <c r="B9" s="64"/>
      <c r="C9" s="65" t="s">
        <v>1968</v>
      </c>
      <c r="D9" s="66"/>
      <c r="E9" s="67">
        <v>1510547918.28</v>
      </c>
      <c r="F9" s="67">
        <v>1367475902.94857</v>
      </c>
      <c r="G9" s="67">
        <v>1376020243.9714301</v>
      </c>
      <c r="H9" s="67">
        <v>2044540734.10041</v>
      </c>
      <c r="I9" s="67">
        <v>2202414159.5510201</v>
      </c>
      <c r="J9" s="67">
        <f>SUM(D9:I9)</f>
        <v>8500998958.8514299</v>
      </c>
    </row>
    <row r="10" spans="2:12" s="56" customFormat="1" ht="11.25">
      <c r="B10" s="64"/>
      <c r="C10" s="65" t="s">
        <v>1969</v>
      </c>
      <c r="D10" s="66"/>
      <c r="E10" s="67">
        <v>1734958725.8571401</v>
      </c>
      <c r="F10" s="67">
        <v>1292282643</v>
      </c>
      <c r="G10" s="67">
        <v>1330569550.54286</v>
      </c>
      <c r="H10" s="67">
        <v>1861746049.2244899</v>
      </c>
      <c r="I10" s="67">
        <v>1773478872.41694</v>
      </c>
      <c r="J10" s="67">
        <f>SUM(D10:I10)</f>
        <v>7993035841.0414305</v>
      </c>
    </row>
    <row r="11" spans="2:12" s="56" customFormat="1" ht="11.25">
      <c r="B11" s="64"/>
      <c r="C11" s="65" t="s">
        <v>1970</v>
      </c>
      <c r="D11" s="66"/>
      <c r="E11" s="67">
        <v>4163480276.8000002</v>
      </c>
      <c r="F11" s="67">
        <v>4189971278.3600001</v>
      </c>
      <c r="G11" s="67">
        <v>4101095778.54</v>
      </c>
      <c r="H11" s="67">
        <v>5234182366.4692898</v>
      </c>
      <c r="I11" s="67">
        <v>8499289920.25072</v>
      </c>
      <c r="J11" s="67">
        <f>SUM(D11:I11)</f>
        <v>26188019620.419998</v>
      </c>
    </row>
    <row r="12" spans="2:12" s="56" customFormat="1" ht="11.25">
      <c r="B12" s="64"/>
      <c r="C12" s="65" t="s">
        <v>1971</v>
      </c>
      <c r="D12" s="66"/>
      <c r="E12" s="67">
        <v>16569447.6127143</v>
      </c>
      <c r="F12" s="67">
        <v>19519184.956714299</v>
      </c>
      <c r="G12" s="67">
        <v>19661153.774714299</v>
      </c>
      <c r="H12" s="67">
        <v>25216749.1938776</v>
      </c>
      <c r="I12" s="67">
        <v>42240141.803693898</v>
      </c>
      <c r="J12" s="67">
        <f>SUM(D12:I12)</f>
        <v>123206677.34171399</v>
      </c>
    </row>
    <row r="13" spans="2:12" s="56" customFormat="1" ht="11.25">
      <c r="B13" s="64"/>
      <c r="C13" s="68" t="s">
        <v>1972</v>
      </c>
      <c r="D13" s="69"/>
      <c r="E13" s="67"/>
      <c r="F13" s="67"/>
      <c r="G13" s="67"/>
      <c r="H13" s="67">
        <v>1688902796</v>
      </c>
      <c r="I13" s="67">
        <v>1929082979</v>
      </c>
      <c r="J13" s="67">
        <f>SUM(D13:I13)</f>
        <v>3617985775</v>
      </c>
    </row>
    <row r="14" spans="2:12" s="56" customFormat="1" ht="11.25">
      <c r="B14" s="64"/>
      <c r="C14" s="70" t="s">
        <v>111</v>
      </c>
      <c r="D14" s="70"/>
      <c r="E14" s="71">
        <f>SUM(E9:E13)</f>
        <v>7425556368.54986</v>
      </c>
      <c r="F14" s="71">
        <f>SUM(F9:F13)</f>
        <v>6869249009.2652903</v>
      </c>
      <c r="G14" s="71">
        <f>SUM(G9:G13)</f>
        <v>6827346726.8290005</v>
      </c>
      <c r="H14" s="71"/>
      <c r="I14" s="71">
        <f>SUM(I9:I13)</f>
        <v>14446506073.0224</v>
      </c>
      <c r="J14" s="71">
        <f>SUM(J9:J13)</f>
        <v>46423246872.654602</v>
      </c>
      <c r="K14" s="78"/>
      <c r="L14" s="79"/>
    </row>
    <row r="15" spans="2:12" s="56" customFormat="1" ht="11.25">
      <c r="B15" s="64"/>
      <c r="C15" s="63"/>
      <c r="D15" s="63"/>
      <c r="E15" s="72"/>
      <c r="F15" s="72"/>
      <c r="G15" s="72"/>
      <c r="H15" s="72"/>
      <c r="I15" s="72"/>
      <c r="J15" s="72"/>
      <c r="K15" s="78"/>
      <c r="L15" s="79"/>
    </row>
    <row r="16" spans="2:12" s="56" customFormat="1" ht="11.25">
      <c r="B16" s="64">
        <v>2</v>
      </c>
      <c r="C16" s="73" t="s">
        <v>1973</v>
      </c>
      <c r="D16" s="73"/>
      <c r="E16" s="67"/>
      <c r="F16" s="67"/>
      <c r="G16" s="67"/>
      <c r="H16" s="67"/>
      <c r="I16" s="67"/>
      <c r="J16" s="67"/>
      <c r="K16" s="78"/>
      <c r="L16" s="79"/>
    </row>
    <row r="17" spans="2:12" s="56" customFormat="1" ht="11.25">
      <c r="B17" s="64"/>
      <c r="C17" s="65" t="s">
        <v>1968</v>
      </c>
      <c r="D17" s="66"/>
      <c r="E17" s="67">
        <v>1124885711.28</v>
      </c>
      <c r="F17" s="67">
        <v>1034096693.70857</v>
      </c>
      <c r="G17" s="67">
        <v>971713202.72142804</v>
      </c>
      <c r="H17" s="67">
        <v>2044540734.10041</v>
      </c>
      <c r="I17" s="67">
        <v>1111358842.45102</v>
      </c>
      <c r="J17" s="67">
        <f>SUM(D17:I17)</f>
        <v>6286595184.2614298</v>
      </c>
      <c r="K17" s="78"/>
      <c r="L17" s="79"/>
    </row>
    <row r="18" spans="2:12" s="56" customFormat="1" ht="11.25">
      <c r="B18" s="64"/>
      <c r="C18" s="65" t="s">
        <v>1969</v>
      </c>
      <c r="D18" s="66"/>
      <c r="E18" s="67">
        <v>1492771595.3571401</v>
      </c>
      <c r="F18" s="67">
        <v>1220926701</v>
      </c>
      <c r="G18" s="67">
        <v>1043418700.54286</v>
      </c>
      <c r="H18" s="67">
        <v>1861746049.2244899</v>
      </c>
      <c r="I18" s="67">
        <v>1140303861.41694</v>
      </c>
      <c r="J18" s="67">
        <f>SUM(D18:I18)</f>
        <v>6759166907.5414305</v>
      </c>
      <c r="K18" s="78"/>
      <c r="L18" s="79"/>
    </row>
    <row r="19" spans="2:12" s="56" customFormat="1" ht="11.25">
      <c r="B19" s="64"/>
      <c r="C19" s="65" t="s">
        <v>1970</v>
      </c>
      <c r="D19" s="66"/>
      <c r="E19" s="67">
        <v>2601835375.4099998</v>
      </c>
      <c r="F19" s="67">
        <v>2574629244.8099999</v>
      </c>
      <c r="G19" s="67">
        <v>2507331883.3200002</v>
      </c>
      <c r="H19" s="67">
        <v>5234182366.4692898</v>
      </c>
      <c r="I19" s="67">
        <v>2930841193.50071</v>
      </c>
      <c r="J19" s="67">
        <f>SUM(D19:I19)</f>
        <v>15848820063.51</v>
      </c>
      <c r="K19" s="78"/>
      <c r="L19" s="79"/>
    </row>
    <row r="20" spans="2:12" s="56" customFormat="1" ht="11.25">
      <c r="B20" s="64"/>
      <c r="C20" s="65" t="s">
        <v>1971</v>
      </c>
      <c r="D20" s="66"/>
      <c r="E20" s="67">
        <v>57654281.612714298</v>
      </c>
      <c r="F20" s="67">
        <v>57224828.456714302</v>
      </c>
      <c r="G20" s="67">
        <v>54385000.274714299</v>
      </c>
      <c r="H20" s="67">
        <v>119934434.693878</v>
      </c>
      <c r="I20" s="67">
        <v>128886901.80369399</v>
      </c>
      <c r="J20" s="67">
        <f>SUM(D20:I20)</f>
        <v>418085446.84171402</v>
      </c>
      <c r="K20" s="78"/>
      <c r="L20" s="79"/>
    </row>
    <row r="21" spans="2:12" s="56" customFormat="1" ht="11.25">
      <c r="B21" s="64"/>
      <c r="C21" s="68" t="s">
        <v>1972</v>
      </c>
      <c r="D21" s="69"/>
      <c r="E21" s="67"/>
      <c r="F21" s="67"/>
      <c r="G21" s="67"/>
      <c r="H21" s="67">
        <v>2302805253</v>
      </c>
      <c r="I21" s="67">
        <v>2630288982</v>
      </c>
      <c r="J21" s="67">
        <f>SUM(D21:I21)</f>
        <v>4933094235</v>
      </c>
      <c r="K21" s="80"/>
      <c r="L21" s="79"/>
    </row>
    <row r="22" spans="2:12" s="56" customFormat="1" ht="11.25">
      <c r="B22" s="64"/>
      <c r="C22" s="70" t="s">
        <v>111</v>
      </c>
      <c r="D22" s="70"/>
      <c r="E22" s="71">
        <f>SUM(E17:E21)</f>
        <v>5277146963.6598597</v>
      </c>
      <c r="F22" s="71">
        <f>SUM(F17:F21)</f>
        <v>4886877467.9752903</v>
      </c>
      <c r="G22" s="71">
        <f>SUM(G17:G21)</f>
        <v>4576848786.8590002</v>
      </c>
      <c r="H22" s="71"/>
      <c r="I22" s="71">
        <f>SUM(I17:I21)</f>
        <v>7941679781.17237</v>
      </c>
      <c r="J22" s="71">
        <f>SUM(J17:J21)</f>
        <v>34245761837.154598</v>
      </c>
      <c r="L22" s="79"/>
    </row>
    <row r="23" spans="2:12" s="56" customFormat="1" ht="11.25">
      <c r="B23" s="64"/>
      <c r="C23" s="63"/>
      <c r="D23" s="63"/>
      <c r="E23" s="72"/>
      <c r="F23" s="72"/>
      <c r="G23" s="72"/>
      <c r="H23" s="72"/>
      <c r="I23" s="72"/>
      <c r="J23" s="72"/>
    </row>
    <row r="24" spans="2:12" s="56" customFormat="1" ht="11.25">
      <c r="B24" s="64">
        <v>3</v>
      </c>
      <c r="C24" s="73" t="s">
        <v>1974</v>
      </c>
      <c r="D24" s="73"/>
      <c r="E24" s="67"/>
      <c r="F24" s="67"/>
      <c r="G24" s="67"/>
      <c r="H24" s="67"/>
      <c r="I24" s="67"/>
      <c r="J24" s="67"/>
    </row>
    <row r="25" spans="2:12" s="56" customFormat="1" ht="11.25">
      <c r="B25" s="64"/>
      <c r="C25" s="65" t="s">
        <v>1968</v>
      </c>
      <c r="D25" s="66"/>
      <c r="E25" s="67">
        <v>1012438932.78</v>
      </c>
      <c r="F25" s="67">
        <v>963216937.20857096</v>
      </c>
      <c r="G25" s="67">
        <v>892720694.72142804</v>
      </c>
      <c r="H25" s="67">
        <v>2044540734.10041</v>
      </c>
      <c r="I25" s="67">
        <v>764282669.65102005</v>
      </c>
      <c r="J25" s="67">
        <f>SUM(D25:I25)</f>
        <v>5677199968.4614296</v>
      </c>
    </row>
    <row r="26" spans="2:12" s="56" customFormat="1" ht="11.25">
      <c r="B26" s="64"/>
      <c r="C26" s="65" t="s">
        <v>1969</v>
      </c>
      <c r="D26" s="66"/>
      <c r="E26" s="67">
        <v>1360264913.3571401</v>
      </c>
      <c r="F26" s="67">
        <v>865392669</v>
      </c>
      <c r="G26" s="67">
        <v>871858738.54285705</v>
      </c>
      <c r="H26" s="67">
        <v>1861746049.2244899</v>
      </c>
      <c r="I26" s="67">
        <v>532425072.41693902</v>
      </c>
      <c r="J26" s="67">
        <f>SUM(D26:I26)</f>
        <v>5491687442.5414305</v>
      </c>
    </row>
    <row r="27" spans="2:12" s="56" customFormat="1" ht="11.25">
      <c r="B27" s="64"/>
      <c r="C27" s="65" t="s">
        <v>1970</v>
      </c>
      <c r="D27" s="66"/>
      <c r="E27" s="67">
        <v>1958773142.9400001</v>
      </c>
      <c r="F27" s="67">
        <v>2063444976.3199999</v>
      </c>
      <c r="G27" s="67">
        <v>1957967398.9100001</v>
      </c>
      <c r="H27" s="67">
        <v>5234182366.4692898</v>
      </c>
      <c r="I27" s="67">
        <v>1243838122.6007099</v>
      </c>
      <c r="J27" s="67">
        <f>SUM(D27:I27)</f>
        <v>12458206007.24</v>
      </c>
    </row>
    <row r="28" spans="2:12" s="56" customFormat="1" ht="11.25">
      <c r="B28" s="64"/>
      <c r="C28" s="65" t="s">
        <v>1971</v>
      </c>
      <c r="D28" s="66"/>
      <c r="E28" s="67">
        <v>101434567.903714</v>
      </c>
      <c r="F28" s="67">
        <v>119470864.39971399</v>
      </c>
      <c r="G28" s="67">
        <v>123065871.56171399</v>
      </c>
      <c r="H28" s="67">
        <v>119934434.693878</v>
      </c>
      <c r="I28" s="67">
        <v>259261735.70769399</v>
      </c>
      <c r="J28" s="67">
        <f>SUM(D28:I28)</f>
        <v>723167474.26671398</v>
      </c>
    </row>
    <row r="29" spans="2:12" s="56" customFormat="1" ht="11.25">
      <c r="B29" s="64"/>
      <c r="C29" s="68" t="s">
        <v>1972</v>
      </c>
      <c r="D29" s="69"/>
      <c r="E29" s="67"/>
      <c r="F29" s="67"/>
      <c r="G29" s="67"/>
      <c r="H29" s="67">
        <v>1407953586</v>
      </c>
      <c r="I29" s="67">
        <v>1608179763</v>
      </c>
      <c r="J29" s="67">
        <f>SUM(D29:I29)</f>
        <v>3016133349</v>
      </c>
    </row>
    <row r="30" spans="2:12" s="56" customFormat="1" ht="11.25">
      <c r="B30" s="64"/>
      <c r="C30" s="70" t="s">
        <v>111</v>
      </c>
      <c r="D30" s="70"/>
      <c r="E30" s="71">
        <f>SUM(E25:E29)</f>
        <v>4432911556.9808598</v>
      </c>
      <c r="F30" s="71">
        <f>SUM(F25:F29)</f>
        <v>4011525446.9282899</v>
      </c>
      <c r="G30" s="71">
        <f>SUM(G25:G29)</f>
        <v>3845612703.7360001</v>
      </c>
      <c r="H30" s="71"/>
      <c r="I30" s="71">
        <f>SUM(I25:I29)</f>
        <v>4407987363.3763704</v>
      </c>
      <c r="J30" s="71">
        <f>SUM(J25:J29)</f>
        <v>27366394241.509602</v>
      </c>
    </row>
    <row r="31" spans="2:12" s="56" customFormat="1" ht="11.25">
      <c r="B31" s="64"/>
      <c r="C31" s="63"/>
      <c r="D31" s="63"/>
      <c r="E31" s="72"/>
      <c r="F31" s="72"/>
      <c r="G31" s="72"/>
      <c r="H31" s="72"/>
      <c r="I31" s="72"/>
      <c r="J31" s="72"/>
    </row>
    <row r="32" spans="2:12" s="56" customFormat="1" ht="11.25">
      <c r="B32" s="64">
        <v>4</v>
      </c>
      <c r="C32" s="73" t="s">
        <v>1975</v>
      </c>
      <c r="D32" s="73"/>
      <c r="E32" s="67"/>
      <c r="F32" s="67"/>
      <c r="G32" s="67"/>
      <c r="H32" s="67"/>
      <c r="I32" s="67"/>
      <c r="J32" s="67"/>
    </row>
    <row r="33" spans="2:11" s="56" customFormat="1" ht="11.25">
      <c r="B33" s="64"/>
      <c r="C33" s="65" t="s">
        <v>1968</v>
      </c>
      <c r="D33" s="66"/>
      <c r="E33" s="67">
        <v>751663011.77999997</v>
      </c>
      <c r="F33" s="67">
        <v>752538427.20857096</v>
      </c>
      <c r="G33" s="67">
        <v>666292848.32142901</v>
      </c>
      <c r="H33" s="67">
        <v>1943429878.9304099</v>
      </c>
      <c r="I33" s="67">
        <v>210933914.05102</v>
      </c>
      <c r="J33" s="67">
        <f>SUM(D33:I33)</f>
        <v>4324858080.2914305</v>
      </c>
      <c r="K33" s="81"/>
    </row>
    <row r="34" spans="2:11" s="56" customFormat="1" ht="11.25">
      <c r="B34" s="64"/>
      <c r="C34" s="65" t="s">
        <v>1969</v>
      </c>
      <c r="D34" s="66"/>
      <c r="E34" s="67">
        <v>1106831180.3571401</v>
      </c>
      <c r="F34" s="67">
        <v>1099917435</v>
      </c>
      <c r="G34" s="67">
        <v>897140327.74285698</v>
      </c>
      <c r="H34" s="67">
        <v>1861746049.2244899</v>
      </c>
      <c r="I34" s="67">
        <v>256076362.22693899</v>
      </c>
      <c r="J34" s="67">
        <f>SUM(D34:I34)</f>
        <v>5221711354.5514297</v>
      </c>
    </row>
    <row r="35" spans="2:11" s="56" customFormat="1" ht="11.25">
      <c r="B35" s="64"/>
      <c r="C35" s="65" t="s">
        <v>1970</v>
      </c>
      <c r="D35" s="66">
        <v>1901530179.8199999</v>
      </c>
      <c r="E35" s="66">
        <v>1951120054.9100001</v>
      </c>
      <c r="F35" s="66">
        <v>2094933521.9400001</v>
      </c>
      <c r="G35" s="66">
        <v>2070167580.78</v>
      </c>
      <c r="H35" s="66">
        <v>5234182366.4692898</v>
      </c>
      <c r="I35" s="66">
        <v>1176529792.49071</v>
      </c>
      <c r="J35" s="67">
        <f>SUM(D35:I35)</f>
        <v>14428463496.41</v>
      </c>
    </row>
    <row r="36" spans="2:11" s="56" customFormat="1" ht="11.25">
      <c r="B36" s="64"/>
      <c r="C36" s="65" t="s">
        <v>1971</v>
      </c>
      <c r="D36" s="66"/>
      <c r="E36" s="67">
        <v>17450935.2127143</v>
      </c>
      <c r="F36" s="67">
        <v>21477739.106714301</v>
      </c>
      <c r="G36" s="67">
        <v>21979340.274714299</v>
      </c>
      <c r="H36" s="67">
        <v>31029027.6938776</v>
      </c>
      <c r="I36" s="67">
        <v>42240141.803693898</v>
      </c>
      <c r="J36" s="67">
        <f>SUM(D36:I36)</f>
        <v>134177184.09171399</v>
      </c>
    </row>
    <row r="37" spans="2:11" s="56" customFormat="1" ht="11.25">
      <c r="B37" s="64"/>
      <c r="C37" s="68" t="s">
        <v>1972</v>
      </c>
      <c r="D37" s="66"/>
      <c r="E37" s="67"/>
      <c r="F37" s="67"/>
      <c r="G37" s="67">
        <v>1144168418.2415299</v>
      </c>
      <c r="H37" s="67">
        <v>1499799332</v>
      </c>
      <c r="I37" s="67">
        <v>1713086963</v>
      </c>
      <c r="J37" s="67">
        <f>SUM(D37:I37)</f>
        <v>4357054713.2415304</v>
      </c>
    </row>
    <row r="38" spans="2:11" s="56" customFormat="1" ht="11.25">
      <c r="B38" s="64"/>
      <c r="C38" s="70" t="s">
        <v>111</v>
      </c>
      <c r="D38" s="70"/>
      <c r="E38" s="71">
        <f>SUM(E33:E37)</f>
        <v>3827065182.25986</v>
      </c>
      <c r="F38" s="71">
        <f>SUM(F33:F37)</f>
        <v>3968867123.25529</v>
      </c>
      <c r="G38" s="71">
        <f>SUM(G33:G37)</f>
        <v>4799748515.3605299</v>
      </c>
      <c r="H38" s="71"/>
      <c r="I38" s="71">
        <f>SUM(I33:I37)</f>
        <v>3398867173.5723701</v>
      </c>
      <c r="J38" s="71">
        <f>SUM(J33:J37)</f>
        <v>28466264828.586102</v>
      </c>
    </row>
    <row r="39" spans="2:11" s="56" customFormat="1" ht="11.25">
      <c r="B39" s="64"/>
      <c r="C39" s="63"/>
      <c r="D39" s="63"/>
      <c r="E39" s="72"/>
      <c r="F39" s="72"/>
      <c r="G39" s="72"/>
      <c r="H39" s="72"/>
      <c r="I39" s="72"/>
      <c r="J39" s="72"/>
    </row>
    <row r="40" spans="2:11" s="56" customFormat="1" ht="11.25">
      <c r="B40" s="64">
        <v>5</v>
      </c>
      <c r="C40" s="73" t="s">
        <v>1976</v>
      </c>
      <c r="D40" s="73"/>
      <c r="E40" s="67"/>
      <c r="F40" s="67"/>
      <c r="G40" s="67"/>
      <c r="H40" s="67"/>
      <c r="I40" s="67"/>
      <c r="J40" s="67"/>
    </row>
    <row r="41" spans="2:11" s="56" customFormat="1" ht="11.25">
      <c r="B41" s="64"/>
      <c r="C41" s="65" t="s">
        <v>1968</v>
      </c>
      <c r="D41" s="66"/>
      <c r="E41" s="67">
        <v>701034772.01999998</v>
      </c>
      <c r="F41" s="67">
        <v>696898601.70857096</v>
      </c>
      <c r="G41" s="67">
        <v>655066550.72142899</v>
      </c>
      <c r="H41" s="67">
        <v>1723976755.60041</v>
      </c>
      <c r="I41" s="67">
        <v>210933914.05102</v>
      </c>
      <c r="J41" s="67">
        <f>SUM(D41:I41)</f>
        <v>3987910594.1014299</v>
      </c>
    </row>
    <row r="42" spans="2:11" s="56" customFormat="1" ht="11.25">
      <c r="B42" s="64"/>
      <c r="C42" s="65" t="s">
        <v>1969</v>
      </c>
      <c r="D42" s="66"/>
      <c r="E42" s="67">
        <v>1024209977.3571399</v>
      </c>
      <c r="F42" s="67">
        <v>877210986</v>
      </c>
      <c r="G42" s="67">
        <v>691101049.54285705</v>
      </c>
      <c r="H42" s="67">
        <v>1861746049.2244899</v>
      </c>
      <c r="I42" s="67">
        <v>255390048.41693899</v>
      </c>
      <c r="J42" s="67">
        <f>SUM(D42:I42)</f>
        <v>4709658110.5414305</v>
      </c>
    </row>
    <row r="43" spans="2:11" s="56" customFormat="1" ht="11.25">
      <c r="B43" s="64"/>
      <c r="C43" s="65" t="s">
        <v>1970</v>
      </c>
      <c r="D43" s="66"/>
      <c r="E43" s="67">
        <v>1841018737.0799999</v>
      </c>
      <c r="F43" s="67">
        <v>1811668492.4100001</v>
      </c>
      <c r="G43" s="67">
        <v>1955731834.1800001</v>
      </c>
      <c r="H43" s="67">
        <v>5149914618.5342903</v>
      </c>
      <c r="I43" s="67">
        <v>681172083.38571405</v>
      </c>
      <c r="J43" s="67">
        <f>SUM(D43:I43)</f>
        <v>11439505765.59</v>
      </c>
    </row>
    <row r="44" spans="2:11" s="56" customFormat="1" ht="11.25">
      <c r="B44" s="64"/>
      <c r="C44" s="65" t="s">
        <v>1971</v>
      </c>
      <c r="D44" s="66"/>
      <c r="E44" s="67">
        <v>30999226.612714302</v>
      </c>
      <c r="F44" s="67">
        <v>34793748.456714302</v>
      </c>
      <c r="G44" s="67">
        <v>35161075.274714299</v>
      </c>
      <c r="H44" s="67">
        <v>69219722.193877503</v>
      </c>
      <c r="I44" s="67">
        <v>42240141.803693898</v>
      </c>
      <c r="J44" s="67">
        <f>SUM(D44:I44)</f>
        <v>212413914.34171399</v>
      </c>
    </row>
    <row r="45" spans="2:11" s="56" customFormat="1" ht="11.25">
      <c r="B45" s="64"/>
      <c r="C45" s="68" t="s">
        <v>1972</v>
      </c>
      <c r="D45" s="66"/>
      <c r="E45" s="67"/>
      <c r="F45" s="67"/>
      <c r="G45" s="67"/>
      <c r="H45" s="67">
        <v>1584877189</v>
      </c>
      <c r="I45" s="67">
        <v>1810263808</v>
      </c>
      <c r="J45" s="67">
        <f>SUM(D45:I45)</f>
        <v>3395140997</v>
      </c>
    </row>
    <row r="46" spans="2:11" s="56" customFormat="1" ht="11.25">
      <c r="B46" s="64"/>
      <c r="C46" s="70" t="s">
        <v>111</v>
      </c>
      <c r="D46" s="70"/>
      <c r="E46" s="71">
        <f>SUM(E41:E45)</f>
        <v>3597262713.06986</v>
      </c>
      <c r="F46" s="71">
        <f>SUM(F41:F45)</f>
        <v>3420571828.5752902</v>
      </c>
      <c r="G46" s="71">
        <f>SUM(G41:G45)</f>
        <v>3337060509.7189999</v>
      </c>
      <c r="H46" s="71"/>
      <c r="I46" s="71">
        <f>SUM(I41:I45)</f>
        <v>2999999995.6573701</v>
      </c>
      <c r="J46" s="71">
        <f>SUM(J41:J45)</f>
        <v>23744629381.5746</v>
      </c>
    </row>
    <row r="47" spans="2:11" s="56" customFormat="1" ht="11.25">
      <c r="B47" s="64"/>
      <c r="C47" s="63"/>
      <c r="D47" s="63"/>
      <c r="E47" s="72"/>
      <c r="F47" s="72"/>
      <c r="G47" s="72"/>
      <c r="H47" s="72"/>
      <c r="I47" s="72"/>
      <c r="J47" s="72"/>
    </row>
    <row r="48" spans="2:11" s="56" customFormat="1" ht="11.25">
      <c r="B48" s="64">
        <v>6</v>
      </c>
      <c r="C48" s="73" t="s">
        <v>1977</v>
      </c>
      <c r="D48" s="73"/>
      <c r="E48" s="67"/>
      <c r="F48" s="67"/>
      <c r="G48" s="67"/>
      <c r="H48" s="67"/>
      <c r="I48" s="67"/>
      <c r="J48" s="67"/>
    </row>
    <row r="49" spans="2:10" s="56" customFormat="1" ht="11.25">
      <c r="B49" s="64"/>
      <c r="C49" s="65" t="s">
        <v>1968</v>
      </c>
      <c r="D49" s="66"/>
      <c r="E49" s="67">
        <v>655206851.27999997</v>
      </c>
      <c r="F49" s="67">
        <v>664064933.70857096</v>
      </c>
      <c r="G49" s="67">
        <v>642668982.32142901</v>
      </c>
      <c r="H49" s="67">
        <v>1605308466.9104099</v>
      </c>
      <c r="I49" s="67">
        <v>210933914.05102</v>
      </c>
      <c r="J49" s="67">
        <f>SUM(D49:I49)</f>
        <v>3778183148.27143</v>
      </c>
    </row>
    <row r="50" spans="2:10" s="56" customFormat="1" ht="11.25">
      <c r="B50" s="64"/>
      <c r="C50" s="65" t="s">
        <v>1969</v>
      </c>
      <c r="D50" s="66"/>
      <c r="E50" s="67">
        <v>1085827001.3571401</v>
      </c>
      <c r="F50" s="67">
        <v>848263578</v>
      </c>
      <c r="G50" s="67">
        <v>824018302.54285705</v>
      </c>
      <c r="H50" s="67">
        <v>1734220244.7244899</v>
      </c>
      <c r="I50" s="67">
        <v>185515978.91693899</v>
      </c>
      <c r="J50" s="67">
        <f>SUM(D50:I50)</f>
        <v>4677845105.5414305</v>
      </c>
    </row>
    <row r="51" spans="2:10" s="56" customFormat="1" ht="11.25">
      <c r="B51" s="64"/>
      <c r="C51" s="65" t="s">
        <v>1970</v>
      </c>
      <c r="D51" s="66"/>
      <c r="E51" s="67">
        <v>1408716043.53</v>
      </c>
      <c r="F51" s="67">
        <v>1576501904.53</v>
      </c>
      <c r="G51" s="67">
        <v>1529386698.3199999</v>
      </c>
      <c r="H51" s="67">
        <v>4256323483.8042898</v>
      </c>
      <c r="I51" s="67">
        <v>681172083.38571405</v>
      </c>
      <c r="J51" s="67">
        <f>SUM(D51:I51)</f>
        <v>9452100213.5699997</v>
      </c>
    </row>
    <row r="52" spans="2:10" s="56" customFormat="1" ht="11.25">
      <c r="B52" s="64"/>
      <c r="C52" s="65" t="s">
        <v>1971</v>
      </c>
      <c r="D52" s="66"/>
      <c r="E52" s="67">
        <v>18859914.112714302</v>
      </c>
      <c r="F52" s="67">
        <v>24214070.956714299</v>
      </c>
      <c r="G52" s="67">
        <v>24015097.774714299</v>
      </c>
      <c r="H52" s="67">
        <v>38201339.693877503</v>
      </c>
      <c r="I52" s="67">
        <v>42240141.803693898</v>
      </c>
      <c r="J52" s="67">
        <f>SUM(D52:I52)</f>
        <v>147530564.34171399</v>
      </c>
    </row>
    <row r="53" spans="2:10" s="56" customFormat="1" ht="11.25">
      <c r="B53" s="64"/>
      <c r="C53" s="68" t="s">
        <v>1972</v>
      </c>
      <c r="D53" s="66"/>
      <c r="E53" s="67"/>
      <c r="F53" s="67"/>
      <c r="G53" s="67"/>
      <c r="H53" s="67">
        <v>1460507003</v>
      </c>
      <c r="I53" s="67">
        <v>1668206842</v>
      </c>
      <c r="J53" s="67">
        <f>SUM(D53:I53)</f>
        <v>3128713845</v>
      </c>
    </row>
    <row r="54" spans="2:10" s="56" customFormat="1" ht="11.25">
      <c r="B54" s="64"/>
      <c r="C54" s="70" t="s">
        <v>111</v>
      </c>
      <c r="D54" s="70"/>
      <c r="E54" s="71">
        <f>SUM(E49:E53)</f>
        <v>3168609810.27986</v>
      </c>
      <c r="F54" s="71">
        <f>SUM(F49:F53)</f>
        <v>3113044487.1952901</v>
      </c>
      <c r="G54" s="71">
        <f>SUM(G49:G53)</f>
        <v>3020089080.9590001</v>
      </c>
      <c r="H54" s="71"/>
      <c r="I54" s="71">
        <f>SUM(I49:I53)</f>
        <v>2788068960.1573701</v>
      </c>
      <c r="J54" s="71">
        <f>SUM(J49:J53)</f>
        <v>21184372876.724602</v>
      </c>
    </row>
    <row r="55" spans="2:10" s="56" customFormat="1" ht="11.25">
      <c r="B55" s="64"/>
      <c r="C55" s="63"/>
      <c r="D55" s="63"/>
      <c r="E55" s="72"/>
      <c r="F55" s="72"/>
      <c r="G55" s="72"/>
      <c r="H55" s="72"/>
      <c r="I55" s="72"/>
      <c r="J55" s="72"/>
    </row>
    <row r="56" spans="2:10" s="56" customFormat="1" ht="11.25">
      <c r="B56" s="64">
        <v>7</v>
      </c>
      <c r="C56" s="73" t="s">
        <v>1978</v>
      </c>
      <c r="D56" s="73"/>
      <c r="E56" s="67"/>
      <c r="F56" s="67"/>
      <c r="G56" s="67"/>
      <c r="H56" s="67"/>
      <c r="I56" s="67"/>
      <c r="J56" s="67"/>
    </row>
    <row r="57" spans="2:10" s="56" customFormat="1" ht="11.25">
      <c r="B57" s="64"/>
      <c r="C57" s="65" t="s">
        <v>1968</v>
      </c>
      <c r="D57" s="66"/>
      <c r="E57" s="67">
        <v>666723975.77999997</v>
      </c>
      <c r="F57" s="67">
        <v>624887186.70857096</v>
      </c>
      <c r="G57" s="67">
        <v>585255200.72142899</v>
      </c>
      <c r="H57" s="67">
        <v>1656214123.60041</v>
      </c>
      <c r="I57" s="67">
        <v>210933914.05102</v>
      </c>
      <c r="J57" s="67">
        <f>SUM(D57:I57)</f>
        <v>3744014400.8614302</v>
      </c>
    </row>
    <row r="58" spans="2:10" s="56" customFormat="1" ht="11.25">
      <c r="B58" s="64"/>
      <c r="C58" s="65" t="s">
        <v>1969</v>
      </c>
      <c r="D58" s="66"/>
      <c r="E58" s="67">
        <v>1081537331.3571401</v>
      </c>
      <c r="F58" s="67">
        <v>667795248</v>
      </c>
      <c r="G58" s="67">
        <v>681880726.54285705</v>
      </c>
      <c r="H58" s="67">
        <v>1802900492.7244899</v>
      </c>
      <c r="I58" s="67">
        <v>185515978.91693899</v>
      </c>
      <c r="J58" s="67">
        <f>SUM(D58:I58)</f>
        <v>4419629777.5414305</v>
      </c>
    </row>
    <row r="59" spans="2:10" s="56" customFormat="1" ht="11.25">
      <c r="B59" s="64"/>
      <c r="C59" s="65" t="s">
        <v>1970</v>
      </c>
      <c r="D59" s="66"/>
      <c r="E59" s="67">
        <v>1382485157.73</v>
      </c>
      <c r="F59" s="67">
        <v>1475724329.73</v>
      </c>
      <c r="G59" s="67">
        <v>1457293653.45</v>
      </c>
      <c r="H59" s="67">
        <v>3922860344.9842901</v>
      </c>
      <c r="I59" s="67">
        <v>681172083.38571405</v>
      </c>
      <c r="J59" s="67">
        <f>SUM(D59:I59)</f>
        <v>8919535569.2800007</v>
      </c>
    </row>
    <row r="60" spans="2:10" s="56" customFormat="1" ht="11.25">
      <c r="B60" s="64"/>
      <c r="C60" s="65" t="s">
        <v>1971</v>
      </c>
      <c r="D60" s="66"/>
      <c r="E60" s="67">
        <v>124033614.562714</v>
      </c>
      <c r="F60" s="67">
        <v>160430277.65671399</v>
      </c>
      <c r="G60" s="67">
        <v>160414067.47471401</v>
      </c>
      <c r="H60" s="67">
        <v>119934434.693878</v>
      </c>
      <c r="I60" s="67">
        <v>428494104.026694</v>
      </c>
      <c r="J60" s="67">
        <f>SUM(D60:I60)</f>
        <v>993306498.41471398</v>
      </c>
    </row>
    <row r="61" spans="2:10" s="56" customFormat="1" ht="11.25">
      <c r="B61" s="64"/>
      <c r="C61" s="68" t="s">
        <v>1972</v>
      </c>
      <c r="D61" s="66"/>
      <c r="E61" s="67"/>
      <c r="F61" s="67"/>
      <c r="G61" s="67"/>
      <c r="H61" s="67">
        <v>1176851807</v>
      </c>
      <c r="I61" s="67">
        <v>1344212819</v>
      </c>
      <c r="J61" s="67">
        <f>SUM(D61:I61)</f>
        <v>2521064626</v>
      </c>
    </row>
    <row r="62" spans="2:10" s="56" customFormat="1" ht="11.25">
      <c r="B62" s="64"/>
      <c r="C62" s="70" t="s">
        <v>111</v>
      </c>
      <c r="D62" s="70"/>
      <c r="E62" s="71">
        <f>SUM(E57:E61)</f>
        <v>3254780079.4298601</v>
      </c>
      <c r="F62" s="71">
        <f>SUM(F57:F61)</f>
        <v>2928837042.0952902</v>
      </c>
      <c r="G62" s="71">
        <f>SUM(G57:G61)</f>
        <v>2884843648.1890001</v>
      </c>
      <c r="H62" s="71"/>
      <c r="I62" s="71">
        <f>SUM(I57:I61)</f>
        <v>2850328899.3803701</v>
      </c>
      <c r="J62" s="71">
        <f>SUM(J57:J61)</f>
        <v>20597550872.097599</v>
      </c>
    </row>
    <row r="63" spans="2:10" s="56" customFormat="1" ht="11.25">
      <c r="B63" s="64"/>
      <c r="C63" s="74"/>
      <c r="D63" s="74"/>
      <c r="E63" s="75"/>
      <c r="F63" s="75"/>
      <c r="G63" s="75"/>
      <c r="H63" s="75"/>
      <c r="I63" s="75"/>
      <c r="J63" s="75"/>
    </row>
    <row r="64" spans="2:10" s="56" customFormat="1" ht="11.25">
      <c r="B64" s="64"/>
      <c r="C64" s="73"/>
      <c r="D64" s="73"/>
      <c r="E64" s="76"/>
      <c r="F64" s="76"/>
      <c r="G64" s="76"/>
      <c r="H64" s="76"/>
      <c r="I64" s="76"/>
      <c r="J64" s="76"/>
    </row>
    <row r="65" spans="2:11" s="56" customFormat="1" ht="11.25">
      <c r="B65" s="64"/>
      <c r="C65" s="82" t="s">
        <v>197</v>
      </c>
      <c r="D65" s="82"/>
      <c r="E65" s="72"/>
      <c r="F65" s="72"/>
      <c r="G65" s="72"/>
      <c r="H65" s="72"/>
      <c r="I65" s="72"/>
      <c r="J65" s="72"/>
    </row>
    <row r="66" spans="2:11" s="56" customFormat="1" ht="11.25">
      <c r="B66" s="64"/>
      <c r="C66" s="65" t="s">
        <v>1968</v>
      </c>
      <c r="D66" s="67">
        <v>0</v>
      </c>
      <c r="E66" s="67">
        <v>5755777197.4200001</v>
      </c>
      <c r="F66" s="67">
        <v>5478291496.4914303</v>
      </c>
      <c r="G66" s="67">
        <v>5204482522.7785702</v>
      </c>
      <c r="H66" s="67">
        <v>11406337303.742399</v>
      </c>
      <c r="I66" s="67">
        <v>4710857413.8061199</v>
      </c>
      <c r="J66" s="67">
        <f t="shared" ref="J66:J70" si="0">+J9+J17+J25+J33+J41+J49+J57</f>
        <v>36299760335.099998</v>
      </c>
      <c r="K66" s="79"/>
    </row>
    <row r="67" spans="2:11" s="56" customFormat="1" ht="11.25">
      <c r="B67" s="64"/>
      <c r="C67" s="65" t="s">
        <v>1969</v>
      </c>
      <c r="D67" s="67">
        <v>0</v>
      </c>
      <c r="E67" s="67">
        <v>8471587369.4228601</v>
      </c>
      <c r="F67" s="67">
        <v>6828881198.7085695</v>
      </c>
      <c r="G67" s="67">
        <v>6243361870.1785698</v>
      </c>
      <c r="H67" s="67">
        <v>12699164614.4473</v>
      </c>
      <c r="I67" s="67">
        <v>4354124109.8626499</v>
      </c>
      <c r="J67" s="67">
        <f t="shared" si="0"/>
        <v>39272734539.300003</v>
      </c>
      <c r="K67" s="79"/>
    </row>
    <row r="68" spans="2:11" s="56" customFormat="1" ht="11.25">
      <c r="B68" s="64"/>
      <c r="C68" s="65" t="s">
        <v>1970</v>
      </c>
      <c r="D68" s="67">
        <v>1901530179.8199999</v>
      </c>
      <c r="E68" s="67">
        <v>15006480962.0271</v>
      </c>
      <c r="F68" s="67">
        <v>14978944666.370001</v>
      </c>
      <c r="G68" s="67">
        <v>14803561900.592899</v>
      </c>
      <c r="H68" s="67">
        <v>32145868060.940201</v>
      </c>
      <c r="I68" s="67">
        <v>15398359174.5312</v>
      </c>
      <c r="J68" s="67">
        <f t="shared" si="0"/>
        <v>98734650736.020004</v>
      </c>
      <c r="K68" s="79"/>
    </row>
    <row r="69" spans="2:11" s="56" customFormat="1" ht="11.25">
      <c r="B69" s="64"/>
      <c r="C69" s="65" t="s">
        <v>1971</v>
      </c>
      <c r="D69" s="67">
        <v>0</v>
      </c>
      <c r="E69" s="67">
        <v>1625453530.7972901</v>
      </c>
      <c r="F69" s="67">
        <v>1752424766.0632901</v>
      </c>
      <c r="G69" s="67">
        <v>1735561192.3852899</v>
      </c>
      <c r="H69" s="67">
        <v>4326396053.1475496</v>
      </c>
      <c r="I69" s="67">
        <v>1238281288.1118801</v>
      </c>
      <c r="J69" s="67">
        <f t="shared" si="0"/>
        <v>2751887759.6399999</v>
      </c>
      <c r="K69" s="79"/>
    </row>
    <row r="70" spans="2:11" s="56" customFormat="1" ht="11.25">
      <c r="B70" s="64"/>
      <c r="C70" s="65" t="s">
        <v>1972</v>
      </c>
      <c r="D70" s="67">
        <v>0</v>
      </c>
      <c r="E70" s="67">
        <v>124033614.562714</v>
      </c>
      <c r="F70" s="67">
        <v>160430277.65671399</v>
      </c>
      <c r="G70" s="67">
        <v>1304582485.7162499</v>
      </c>
      <c r="H70" s="67">
        <v>10064779593.693899</v>
      </c>
      <c r="I70" s="67">
        <v>11787603441.026699</v>
      </c>
      <c r="J70" s="67">
        <f t="shared" si="0"/>
        <v>24969187540.241501</v>
      </c>
      <c r="K70" s="79"/>
    </row>
    <row r="71" spans="2:11" s="56" customFormat="1" ht="11.25">
      <c r="B71" s="64"/>
      <c r="C71" s="68"/>
      <c r="D71" s="68"/>
      <c r="E71" s="83"/>
      <c r="F71" s="83"/>
      <c r="G71" s="83"/>
      <c r="H71" s="83"/>
      <c r="I71" s="83"/>
      <c r="J71" s="83"/>
    </row>
    <row r="72" spans="2:11" s="56" customFormat="1" ht="11.25">
      <c r="B72" s="84"/>
      <c r="C72" s="85" t="s">
        <v>1979</v>
      </c>
      <c r="D72" s="85"/>
      <c r="E72" s="86">
        <f>SUM(E66:E71)</f>
        <v>30983332674.23</v>
      </c>
      <c r="F72" s="86">
        <f>SUM(F66:F71)</f>
        <v>29198972405.290001</v>
      </c>
      <c r="G72" s="86">
        <f>SUM(G66:G71)</f>
        <v>29291549971.651501</v>
      </c>
      <c r="H72" s="86">
        <f>SUM(H66:H71)</f>
        <v>70642545625.971405</v>
      </c>
      <c r="I72" s="86">
        <f>SUM(I66:I70)</f>
        <v>37489225427.3386</v>
      </c>
      <c r="J72" s="86">
        <f>SUM(J66:J70)</f>
        <v>202028220910.302</v>
      </c>
      <c r="K72" s="79"/>
    </row>
    <row r="73" spans="2:11" s="56" customFormat="1" ht="11.25">
      <c r="B73" s="87"/>
      <c r="C73" s="88"/>
      <c r="D73" s="88"/>
      <c r="E73" s="88"/>
      <c r="F73" s="88"/>
      <c r="G73" s="88"/>
      <c r="H73" s="88"/>
      <c r="I73" s="88"/>
      <c r="J73" s="88"/>
    </row>
    <row r="74" spans="2:11" s="56" customFormat="1" ht="11.25"/>
    <row r="75" spans="2:11" s="56" customFormat="1" ht="11.25">
      <c r="J75" s="79"/>
    </row>
    <row r="76" spans="2:11" s="56" customFormat="1" ht="11.25">
      <c r="J76" s="79"/>
    </row>
    <row r="77" spans="2:11" s="56" customFormat="1" ht="11.25">
      <c r="G77" s="81"/>
      <c r="H77" s="81"/>
    </row>
    <row r="78" spans="2:11" s="56" customFormat="1" ht="11.25"/>
    <row r="79" spans="2:11" s="56" customFormat="1" ht="11.25">
      <c r="G79" s="89"/>
      <c r="H79" s="89"/>
    </row>
    <row r="80" spans="2:11" s="56" customFormat="1" ht="11.25"/>
    <row r="81" s="56" customFormat="1" ht="11.25"/>
    <row r="82" s="56" customFormat="1" ht="11.25"/>
    <row r="83" s="56" customFormat="1" ht="11.25"/>
    <row r="84" s="56" customFormat="1" ht="11.25"/>
    <row r="85" s="56" customFormat="1" ht="11.25"/>
    <row r="86" s="56" customFormat="1" ht="11.25"/>
    <row r="87" s="56" customFormat="1" ht="11.25"/>
    <row r="88" s="56" customFormat="1" ht="11.25"/>
    <row r="89" s="56" customFormat="1" ht="11.25"/>
    <row r="90" s="56" customFormat="1" ht="11.25"/>
    <row r="91" s="56" customFormat="1" ht="11.25"/>
    <row r="92" s="56" customFormat="1" ht="11.25"/>
    <row r="93" s="56" customFormat="1" ht="11.25"/>
    <row r="94" s="56" customFormat="1" ht="11.25"/>
    <row r="95" s="56" customFormat="1" ht="11.25"/>
    <row r="96" s="56" customFormat="1" ht="11.25"/>
    <row r="97" s="56" customFormat="1" ht="11.25"/>
    <row r="98" s="56" customFormat="1" ht="11.25"/>
    <row r="99" s="56" customFormat="1" ht="11.25"/>
    <row r="100" s="56" customFormat="1" ht="11.25"/>
    <row r="101" s="56" customFormat="1" ht="11.25"/>
    <row r="102" s="56" customFormat="1" ht="11.25"/>
    <row r="103" s="56" customFormat="1" ht="11.25"/>
    <row r="104" s="56" customFormat="1" ht="11.25"/>
    <row r="105" s="56" customFormat="1" ht="11.25"/>
    <row r="106" s="56" customFormat="1" ht="11.25"/>
    <row r="107" s="56" customFormat="1" ht="11.25"/>
    <row r="108" s="56" customFormat="1" ht="11.25"/>
    <row r="109" s="56" customFormat="1" ht="11.25"/>
    <row r="110" s="56" customFormat="1" ht="11.25"/>
    <row r="111" s="56" customFormat="1" ht="11.25"/>
    <row r="112" s="56" customFormat="1" ht="11.25"/>
    <row r="113" s="56" customFormat="1" ht="11.25"/>
    <row r="114" s="56" customFormat="1" ht="11.25"/>
    <row r="115" s="56" customFormat="1" ht="11.25"/>
    <row r="116" s="56" customFormat="1" ht="11.25"/>
    <row r="117" s="56" customFormat="1" ht="11.25"/>
    <row r="118" s="56" customFormat="1" ht="11.25"/>
    <row r="119" s="56" customFormat="1" ht="11.25"/>
  </sheetData>
  <mergeCells count="3">
    <mergeCell ref="B2:J2"/>
    <mergeCell ref="B3:J3"/>
    <mergeCell ref="B4:J4"/>
  </mergeCells>
  <pageMargins left="1.5354330708661419" right="0.11811023622047245" top="0.62992125984251968" bottom="0.47244094488188981" header="0.31496062992125984" footer="0.31496062992125984"/>
  <pageSetup scale="7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F0"/>
  </sheetPr>
  <dimension ref="B1:I51"/>
  <sheetViews>
    <sheetView workbookViewId="0">
      <selection activeCell="I4" sqref="I4"/>
    </sheetView>
  </sheetViews>
  <sheetFormatPr defaultColWidth="9.140625" defaultRowHeight="12.75"/>
  <cols>
    <col min="1" max="1" width="2" style="460" customWidth="1"/>
    <col min="2" max="2" width="3.42578125" style="460" customWidth="1"/>
    <col min="3" max="3" width="38.42578125" style="460" customWidth="1"/>
    <col min="4" max="4" width="29.85546875" style="460" customWidth="1"/>
    <col min="5" max="5" width="18.140625" style="460" customWidth="1"/>
    <col min="6" max="7" width="19.28515625" style="460" customWidth="1"/>
    <col min="8" max="8" width="18" style="460" customWidth="1"/>
    <col min="9" max="9" width="17" style="460" customWidth="1"/>
    <col min="10" max="16384" width="9.140625" style="460"/>
  </cols>
  <sheetData>
    <row r="1" spans="2:9" ht="15">
      <c r="B1" s="1954" t="s">
        <v>0</v>
      </c>
      <c r="C1" s="1954"/>
      <c r="D1" s="1954"/>
      <c r="E1" s="1954"/>
      <c r="F1" s="1954"/>
      <c r="G1" s="1954"/>
      <c r="H1" s="1954"/>
      <c r="I1" s="1954"/>
    </row>
    <row r="2" spans="2:9" ht="15">
      <c r="B2" s="1954" t="s">
        <v>66</v>
      </c>
      <c r="C2" s="1954"/>
      <c r="D2" s="1954"/>
      <c r="E2" s="1954"/>
      <c r="F2" s="1954"/>
      <c r="G2" s="1954"/>
      <c r="H2" s="1954"/>
      <c r="I2" s="1954"/>
    </row>
    <row r="3" spans="2:9" ht="15">
      <c r="B3" s="1954" t="s">
        <v>2</v>
      </c>
      <c r="C3" s="1954"/>
      <c r="D3" s="1954"/>
      <c r="E3" s="1954"/>
      <c r="F3" s="1954"/>
      <c r="G3" s="1954"/>
      <c r="H3" s="1954"/>
      <c r="I3" s="1954"/>
    </row>
    <row r="4" spans="2:9">
      <c r="B4" s="1387"/>
      <c r="C4" s="1387"/>
      <c r="D4" s="1387"/>
      <c r="E4" s="1387"/>
      <c r="F4" s="1387"/>
      <c r="G4" s="1387"/>
      <c r="H4" s="1387"/>
      <c r="I4" s="459" t="s">
        <v>3</v>
      </c>
    </row>
    <row r="5" spans="2:9" ht="27.75" customHeight="1">
      <c r="B5" s="1955" t="s">
        <v>4</v>
      </c>
      <c r="C5" s="1957" t="s">
        <v>67</v>
      </c>
      <c r="D5" s="1957" t="s">
        <v>68</v>
      </c>
      <c r="E5" s="1957" t="s">
        <v>69</v>
      </c>
      <c r="F5" s="1964" t="s">
        <v>70</v>
      </c>
      <c r="G5" s="1957" t="s">
        <v>71</v>
      </c>
      <c r="H5" s="1957" t="s">
        <v>72</v>
      </c>
      <c r="I5" s="1959" t="s">
        <v>73</v>
      </c>
    </row>
    <row r="6" spans="2:9">
      <c r="B6" s="1956"/>
      <c r="C6" s="1958"/>
      <c r="D6" s="1958"/>
      <c r="E6" s="1958"/>
      <c r="F6" s="1965"/>
      <c r="G6" s="1958"/>
      <c r="H6" s="1958"/>
      <c r="I6" s="1960"/>
    </row>
    <row r="7" spans="2:9">
      <c r="B7" s="1416"/>
      <c r="C7" s="1417">
        <v>1</v>
      </c>
      <c r="D7" s="1417">
        <v>2</v>
      </c>
      <c r="E7" s="1417">
        <v>3</v>
      </c>
      <c r="F7" s="1417">
        <v>4</v>
      </c>
      <c r="G7" s="1417">
        <v>5</v>
      </c>
      <c r="H7" s="1417" t="s">
        <v>74</v>
      </c>
      <c r="I7" s="1448" t="s">
        <v>75</v>
      </c>
    </row>
    <row r="8" spans="2:9">
      <c r="B8" s="1418" t="s">
        <v>76</v>
      </c>
      <c r="C8" s="1419" t="s">
        <v>77</v>
      </c>
      <c r="D8" s="1392"/>
      <c r="E8" s="1420">
        <f>SUM(E9:E13)</f>
        <v>17623000000</v>
      </c>
      <c r="F8" s="1420">
        <f>SUM(F9:F13)</f>
        <v>11716526090</v>
      </c>
      <c r="G8" s="1420">
        <f>SUM(G9:G13)</f>
        <v>11496012325</v>
      </c>
      <c r="H8" s="1420">
        <f>SUM(H9:H13)</f>
        <v>220513765</v>
      </c>
      <c r="I8" s="1449"/>
    </row>
    <row r="9" spans="2:9">
      <c r="B9" s="1495" t="s">
        <v>78</v>
      </c>
      <c r="C9" s="1392" t="s">
        <v>79</v>
      </c>
      <c r="D9" s="1401" t="s">
        <v>80</v>
      </c>
      <c r="E9" s="1422">
        <v>7378000000</v>
      </c>
      <c r="F9" s="1422">
        <v>6345012605</v>
      </c>
      <c r="G9" s="1393">
        <v>6184098700</v>
      </c>
      <c r="H9" s="1423">
        <f>F9-G9</f>
        <v>160913905</v>
      </c>
      <c r="I9" s="1449"/>
    </row>
    <row r="10" spans="2:9">
      <c r="B10" s="1421"/>
      <c r="C10" s="1392"/>
      <c r="D10" s="1401"/>
      <c r="E10" s="1424"/>
      <c r="F10" s="1424"/>
      <c r="G10" s="1393">
        <v>0</v>
      </c>
      <c r="H10" s="1425"/>
      <c r="I10" s="1449"/>
    </row>
    <row r="11" spans="2:9">
      <c r="B11" s="1495" t="s">
        <v>81</v>
      </c>
      <c r="C11" s="1392" t="s">
        <v>82</v>
      </c>
      <c r="D11" s="1401" t="s">
        <v>29</v>
      </c>
      <c r="E11" s="1397">
        <v>5719000000</v>
      </c>
      <c r="F11" s="1397">
        <v>5371513485</v>
      </c>
      <c r="G11" s="1393">
        <v>5311913625</v>
      </c>
      <c r="H11" s="1423">
        <f>F11-G11</f>
        <v>59599860</v>
      </c>
      <c r="I11" s="1449"/>
    </row>
    <row r="12" spans="2:9">
      <c r="B12" s="1421"/>
      <c r="C12" s="1392"/>
      <c r="D12" s="1401"/>
      <c r="E12" s="1397"/>
      <c r="F12" s="1397"/>
      <c r="G12" s="1393"/>
      <c r="H12" s="1426"/>
      <c r="I12" s="1449"/>
    </row>
    <row r="13" spans="2:9">
      <c r="B13" s="1495" t="s">
        <v>83</v>
      </c>
      <c r="C13" s="1392" t="s">
        <v>84</v>
      </c>
      <c r="D13" s="1401" t="s">
        <v>55</v>
      </c>
      <c r="E13" s="1397">
        <v>4526000000</v>
      </c>
      <c r="F13" s="1397">
        <v>0</v>
      </c>
      <c r="G13" s="1393"/>
      <c r="H13" s="1426"/>
      <c r="I13" s="1449"/>
    </row>
    <row r="14" spans="2:9">
      <c r="B14" s="1421"/>
      <c r="C14" s="1392"/>
      <c r="D14" s="1401"/>
      <c r="E14" s="1397"/>
      <c r="F14" s="1397"/>
      <c r="G14" s="1393"/>
      <c r="H14" s="1426"/>
      <c r="I14" s="1449"/>
    </row>
    <row r="15" spans="2:9">
      <c r="B15" s="1427" t="s">
        <v>85</v>
      </c>
      <c r="C15" s="1428" t="s">
        <v>86</v>
      </c>
      <c r="D15" s="1428"/>
      <c r="E15" s="1429">
        <f>SUM(E16:E29)</f>
        <v>145714000000</v>
      </c>
      <c r="F15" s="1429">
        <f>SUM(F16:F29)</f>
        <v>136175691019</v>
      </c>
      <c r="G15" s="1429">
        <f>SUM(G16:G29)</f>
        <v>132365017988</v>
      </c>
      <c r="H15" s="1429">
        <f>SUM(H16:H29)</f>
        <v>2722649750</v>
      </c>
      <c r="I15" s="1450"/>
    </row>
    <row r="16" spans="2:9">
      <c r="B16" s="1495" t="s">
        <v>78</v>
      </c>
      <c r="C16" s="1401" t="s">
        <v>87</v>
      </c>
      <c r="D16" s="1401" t="s">
        <v>80</v>
      </c>
      <c r="E16" s="1397">
        <v>14906000000</v>
      </c>
      <c r="F16" s="1397">
        <v>10434060000</v>
      </c>
      <c r="G16" s="1393">
        <v>7945493793</v>
      </c>
      <c r="H16" s="1423">
        <f>F16-G16</f>
        <v>2488566207</v>
      </c>
      <c r="I16" s="1449"/>
    </row>
    <row r="17" spans="2:9">
      <c r="B17" s="1421"/>
      <c r="C17" s="1401"/>
      <c r="D17" s="1401"/>
      <c r="E17" s="1397"/>
      <c r="F17" s="1397"/>
      <c r="G17" s="1397"/>
      <c r="H17" s="1397"/>
      <c r="I17" s="1449"/>
    </row>
    <row r="18" spans="2:9">
      <c r="B18" s="1495" t="s">
        <v>81</v>
      </c>
      <c r="C18" s="1401" t="s">
        <v>82</v>
      </c>
      <c r="D18" s="1401" t="s">
        <v>29</v>
      </c>
      <c r="E18" s="1961">
        <v>43459000000</v>
      </c>
      <c r="F18" s="1961">
        <v>41229220868</v>
      </c>
      <c r="G18" s="1961">
        <v>40137487587</v>
      </c>
      <c r="H18" s="1961">
        <v>3710000</v>
      </c>
      <c r="I18" s="1449"/>
    </row>
    <row r="19" spans="2:9">
      <c r="B19" s="1421"/>
      <c r="C19" s="1401"/>
      <c r="D19" s="1401" t="s">
        <v>88</v>
      </c>
      <c r="E19" s="1962"/>
      <c r="F19" s="1962"/>
      <c r="G19" s="1962"/>
      <c r="H19" s="1962"/>
      <c r="I19" s="1449"/>
    </row>
    <row r="20" spans="2:9">
      <c r="B20" s="1421"/>
      <c r="C20" s="1401"/>
      <c r="D20" s="1401" t="s">
        <v>89</v>
      </c>
      <c r="E20" s="1963"/>
      <c r="F20" s="1963"/>
      <c r="G20" s="1963"/>
      <c r="H20" s="1963"/>
      <c r="I20" s="1449"/>
    </row>
    <row r="21" spans="2:9">
      <c r="B21" s="1421"/>
      <c r="C21" s="1401"/>
      <c r="D21" s="1401"/>
      <c r="E21" s="1430"/>
      <c r="F21" s="1430"/>
      <c r="G21" s="1393"/>
      <c r="H21" s="1393"/>
      <c r="I21" s="1449"/>
    </row>
    <row r="22" spans="2:9">
      <c r="B22" s="1495" t="s">
        <v>83</v>
      </c>
      <c r="C22" s="1401" t="s">
        <v>90</v>
      </c>
      <c r="D22" s="1401" t="s">
        <v>91</v>
      </c>
      <c r="E22" s="1430">
        <v>79775000000</v>
      </c>
      <c r="F22" s="1430">
        <v>79135335000</v>
      </c>
      <c r="G22" s="1393">
        <v>79116047297</v>
      </c>
      <c r="H22" s="1423">
        <f>F22-G22</f>
        <v>19287703</v>
      </c>
      <c r="I22" s="1449"/>
    </row>
    <row r="23" spans="2:9">
      <c r="B23" s="1421"/>
      <c r="C23" s="1401"/>
      <c r="D23" s="1401"/>
      <c r="E23" s="1430"/>
      <c r="F23" s="1430"/>
      <c r="G23" s="1393"/>
      <c r="H23" s="1393"/>
      <c r="I23" s="1449"/>
    </row>
    <row r="24" spans="2:9">
      <c r="B24" s="1495" t="s">
        <v>92</v>
      </c>
      <c r="C24" s="1401" t="s">
        <v>93</v>
      </c>
      <c r="D24" s="1401" t="s">
        <v>91</v>
      </c>
      <c r="E24" s="1430">
        <v>3445000000</v>
      </c>
      <c r="F24" s="1430">
        <v>3375429000</v>
      </c>
      <c r="G24" s="1393">
        <v>3371719000</v>
      </c>
      <c r="H24" s="1423">
        <f>F24-G24</f>
        <v>3710000</v>
      </c>
      <c r="I24" s="1449"/>
    </row>
    <row r="25" spans="2:9">
      <c r="B25" s="1421"/>
      <c r="C25" s="1401"/>
      <c r="D25" s="1401"/>
      <c r="E25" s="1430"/>
      <c r="F25" s="1430"/>
      <c r="G25" s="1393"/>
      <c r="H25" s="1393"/>
      <c r="I25" s="1449"/>
    </row>
    <row r="26" spans="2:9">
      <c r="B26" s="1495" t="s">
        <v>94</v>
      </c>
      <c r="C26" s="1401" t="s">
        <v>95</v>
      </c>
      <c r="D26" s="1401" t="s">
        <v>96</v>
      </c>
      <c r="E26" s="1430">
        <v>1533000000</v>
      </c>
      <c r="F26" s="1430">
        <v>1352702401</v>
      </c>
      <c r="G26" s="1393">
        <v>1352597911</v>
      </c>
      <c r="H26" s="1423">
        <f>F26-G26</f>
        <v>104490</v>
      </c>
      <c r="I26" s="1449"/>
    </row>
    <row r="27" spans="2:9">
      <c r="B27" s="1421"/>
      <c r="C27" s="1401"/>
      <c r="D27" s="1401"/>
      <c r="E27" s="1430"/>
      <c r="F27" s="1430"/>
      <c r="G27" s="1393"/>
      <c r="H27" s="1393"/>
      <c r="I27" s="1449"/>
    </row>
    <row r="28" spans="2:9">
      <c r="B28" s="1495" t="s">
        <v>97</v>
      </c>
      <c r="C28" s="1401" t="s">
        <v>98</v>
      </c>
      <c r="D28" s="1401" t="s">
        <v>99</v>
      </c>
      <c r="E28" s="1961">
        <v>2596000000</v>
      </c>
      <c r="F28" s="1961">
        <v>648943750</v>
      </c>
      <c r="G28" s="1961">
        <v>441672400</v>
      </c>
      <c r="H28" s="1961">
        <f>F28-G28</f>
        <v>207271350</v>
      </c>
      <c r="I28" s="1449"/>
    </row>
    <row r="29" spans="2:9">
      <c r="B29" s="1421"/>
      <c r="C29" s="1401"/>
      <c r="D29" s="1401" t="s">
        <v>100</v>
      </c>
      <c r="E29" s="1963"/>
      <c r="F29" s="1963"/>
      <c r="G29" s="1966"/>
      <c r="H29" s="1966"/>
      <c r="I29" s="1449"/>
    </row>
    <row r="30" spans="2:9">
      <c r="B30" s="1431"/>
      <c r="C30" s="1432" t="s">
        <v>101</v>
      </c>
      <c r="D30" s="1432"/>
      <c r="E30" s="1433">
        <f>SUM(E8+E15)</f>
        <v>163337000000</v>
      </c>
      <c r="F30" s="1433">
        <f>SUM(F8+F15)</f>
        <v>147892217109</v>
      </c>
      <c r="G30" s="1433">
        <f>SUM(G8+G15)</f>
        <v>143861030313</v>
      </c>
      <c r="H30" s="1433">
        <f>SUM(H8+H15)</f>
        <v>2943163515</v>
      </c>
      <c r="I30" s="1451"/>
    </row>
    <row r="31" spans="2:9">
      <c r="B31" s="1434"/>
      <c r="C31" s="1410"/>
      <c r="D31" s="1410"/>
      <c r="E31" s="1411"/>
      <c r="F31" s="1411"/>
      <c r="G31" s="1411"/>
      <c r="H31" s="1411"/>
      <c r="I31" s="1452"/>
    </row>
    <row r="32" spans="2:9">
      <c r="B32" s="1435" t="s">
        <v>78</v>
      </c>
      <c r="C32" s="1436" t="s">
        <v>102</v>
      </c>
      <c r="D32" s="1436" t="s">
        <v>80</v>
      </c>
      <c r="E32" s="1437">
        <v>265907400000</v>
      </c>
      <c r="F32" s="1397">
        <v>257624768000</v>
      </c>
      <c r="G32" s="1397">
        <v>259194340000</v>
      </c>
      <c r="H32" s="1438">
        <f>SUM(F32-G32)</f>
        <v>-1569572000</v>
      </c>
      <c r="I32" s="1453"/>
    </row>
    <row r="33" spans="2:9">
      <c r="B33" s="1435"/>
      <c r="C33" s="1436"/>
      <c r="D33" s="1436"/>
      <c r="E33" s="1439"/>
      <c r="F33" s="1429"/>
      <c r="G33" s="1397">
        <v>0</v>
      </c>
      <c r="H33" s="1429"/>
      <c r="I33" s="1453"/>
    </row>
    <row r="34" spans="2:9">
      <c r="B34" s="1435" t="s">
        <v>81</v>
      </c>
      <c r="C34" s="1436" t="s">
        <v>103</v>
      </c>
      <c r="D34" s="1436" t="s">
        <v>80</v>
      </c>
      <c r="E34" s="1437">
        <v>42592986000</v>
      </c>
      <c r="F34" s="1397">
        <v>47643719970</v>
      </c>
      <c r="G34" s="1397">
        <v>48497854500</v>
      </c>
      <c r="H34" s="1438">
        <f>SUM(F34-G34)</f>
        <v>-854134530</v>
      </c>
      <c r="I34" s="1453"/>
    </row>
    <row r="35" spans="2:9">
      <c r="B35" s="1435"/>
      <c r="C35" s="1436"/>
      <c r="D35" s="1436"/>
      <c r="E35" s="1439"/>
      <c r="F35" s="1429"/>
      <c r="G35" s="1397">
        <v>0</v>
      </c>
      <c r="H35" s="1429"/>
      <c r="I35" s="1453"/>
    </row>
    <row r="36" spans="2:9">
      <c r="B36" s="1435" t="s">
        <v>83</v>
      </c>
      <c r="C36" s="1436" t="s">
        <v>104</v>
      </c>
      <c r="D36" s="1436" t="s">
        <v>80</v>
      </c>
      <c r="E36" s="1437">
        <v>201000000</v>
      </c>
      <c r="F36" s="1397">
        <v>1624575000</v>
      </c>
      <c r="G36" s="1397">
        <v>1548075000</v>
      </c>
      <c r="H36" s="1438">
        <f>SUM(F36-G36)</f>
        <v>76500000</v>
      </c>
      <c r="I36" s="1453"/>
    </row>
    <row r="37" spans="2:9">
      <c r="B37" s="1435"/>
      <c r="C37" s="1436"/>
      <c r="D37" s="1436"/>
      <c r="E37" s="1439"/>
      <c r="F37" s="1429"/>
      <c r="G37" s="1397"/>
      <c r="H37" s="1429"/>
      <c r="I37" s="1453"/>
    </row>
    <row r="38" spans="2:9">
      <c r="B38" s="1435" t="s">
        <v>92</v>
      </c>
      <c r="C38" s="1436" t="s">
        <v>105</v>
      </c>
      <c r="D38" s="1436" t="s">
        <v>106</v>
      </c>
      <c r="E38" s="1437">
        <v>1984062000</v>
      </c>
      <c r="F38" s="1397">
        <v>1858333720</v>
      </c>
      <c r="G38" s="1397">
        <v>1539992536</v>
      </c>
      <c r="H38" s="1438">
        <f>SUM(F38-G38)</f>
        <v>318341184</v>
      </c>
      <c r="I38" s="1453"/>
    </row>
    <row r="39" spans="2:9">
      <c r="B39" s="1435"/>
      <c r="C39" s="1436"/>
      <c r="D39" s="1436"/>
      <c r="E39" s="1439"/>
      <c r="F39" s="1429"/>
      <c r="G39" s="1397"/>
      <c r="H39" s="1429"/>
      <c r="I39" s="1453"/>
    </row>
    <row r="40" spans="2:9">
      <c r="B40" s="1435" t="s">
        <v>94</v>
      </c>
      <c r="C40" s="1436" t="s">
        <v>107</v>
      </c>
      <c r="D40" s="1436" t="s">
        <v>96</v>
      </c>
      <c r="E40" s="1437">
        <v>2500000000</v>
      </c>
      <c r="F40" s="1397">
        <v>2415329400</v>
      </c>
      <c r="G40" s="1397">
        <v>2498562200</v>
      </c>
      <c r="H40" s="1438">
        <f>SUM(F40-G40)</f>
        <v>-83232800</v>
      </c>
      <c r="I40" s="1453"/>
    </row>
    <row r="41" spans="2:9">
      <c r="B41" s="1435"/>
      <c r="C41" s="1436"/>
      <c r="D41" s="1436"/>
      <c r="E41" s="1439"/>
      <c r="F41" s="1429"/>
      <c r="G41" s="1397"/>
      <c r="H41" s="1429"/>
      <c r="I41" s="1453"/>
    </row>
    <row r="42" spans="2:9">
      <c r="B42" s="1435" t="s">
        <v>97</v>
      </c>
      <c r="C42" s="1436" t="s">
        <v>108</v>
      </c>
      <c r="D42" s="1436" t="s">
        <v>109</v>
      </c>
      <c r="E42" s="1437">
        <v>1436691000</v>
      </c>
      <c r="F42" s="1397">
        <v>1168761632</v>
      </c>
      <c r="G42" s="1397">
        <v>1296727432</v>
      </c>
      <c r="H42" s="1438">
        <f>SUM(F42-G42)</f>
        <v>-127965800</v>
      </c>
      <c r="I42" s="1453"/>
    </row>
    <row r="43" spans="2:9">
      <c r="B43" s="1435"/>
      <c r="C43" s="1436"/>
      <c r="D43" s="1436"/>
      <c r="E43" s="1439"/>
      <c r="F43" s="1440"/>
      <c r="G43" s="1440"/>
      <c r="H43" s="1440"/>
      <c r="I43" s="1452"/>
    </row>
    <row r="44" spans="2:9">
      <c r="B44" s="1441"/>
      <c r="C44" s="1432" t="s">
        <v>110</v>
      </c>
      <c r="D44" s="1442"/>
      <c r="E44" s="1443">
        <f>SUM(E32:E42)</f>
        <v>314622139000</v>
      </c>
      <c r="F44" s="1443">
        <f>SUM(F32:F42)</f>
        <v>312335487722</v>
      </c>
      <c r="G44" s="1443">
        <f>G32+G34+G43</f>
        <v>307692194500</v>
      </c>
      <c r="H44" s="1443">
        <f>H32+H34+H43</f>
        <v>-2423706530</v>
      </c>
      <c r="I44" s="1451"/>
    </row>
    <row r="45" spans="2:9">
      <c r="B45" s="1444"/>
      <c r="C45" s="1410"/>
      <c r="D45" s="1410"/>
      <c r="E45" s="1411"/>
      <c r="F45" s="1411"/>
      <c r="G45" s="1411"/>
      <c r="H45" s="1393"/>
      <c r="I45" s="1449"/>
    </row>
    <row r="46" spans="2:9">
      <c r="B46" s="1445"/>
      <c r="C46" s="1446" t="s">
        <v>111</v>
      </c>
      <c r="D46" s="1446"/>
      <c r="E46" s="1447">
        <f>E30+E44</f>
        <v>477959139000</v>
      </c>
      <c r="F46" s="1447">
        <f>F30+F44</f>
        <v>460227704831</v>
      </c>
      <c r="G46" s="1447">
        <f>G30+G44</f>
        <v>451553224813</v>
      </c>
      <c r="H46" s="1447">
        <f>H30+H44</f>
        <v>519456985</v>
      </c>
      <c r="I46" s="1454">
        <f>SUM(I8:I45)</f>
        <v>0</v>
      </c>
    </row>
    <row r="47" spans="2:9">
      <c r="B47" s="51"/>
      <c r="C47" s="51"/>
      <c r="D47" s="51"/>
      <c r="E47" s="51"/>
      <c r="F47" s="51"/>
      <c r="G47" s="51"/>
      <c r="H47" s="51"/>
      <c r="I47" s="51"/>
    </row>
    <row r="48" spans="2:9">
      <c r="B48" s="51"/>
      <c r="C48" s="51"/>
      <c r="D48" s="51"/>
      <c r="E48" s="51"/>
      <c r="F48" s="51"/>
      <c r="G48" s="51"/>
      <c r="H48" s="51"/>
      <c r="I48" s="51"/>
    </row>
    <row r="51" spans="6:6">
      <c r="F51" s="461"/>
    </row>
  </sheetData>
  <mergeCells count="19">
    <mergeCell ref="G18:G20"/>
    <mergeCell ref="G28:G29"/>
    <mergeCell ref="H5:H6"/>
    <mergeCell ref="H18:H20"/>
    <mergeCell ref="H28:H29"/>
    <mergeCell ref="E18:E20"/>
    <mergeCell ref="E28:E29"/>
    <mergeCell ref="F5:F6"/>
    <mergeCell ref="F18:F20"/>
    <mergeCell ref="F28:F29"/>
    <mergeCell ref="B1:I1"/>
    <mergeCell ref="B2:I2"/>
    <mergeCell ref="B3:I3"/>
    <mergeCell ref="B5:B6"/>
    <mergeCell ref="C5:C6"/>
    <mergeCell ref="D5:D6"/>
    <mergeCell ref="E5:E6"/>
    <mergeCell ref="G5:G6"/>
    <mergeCell ref="I5:I6"/>
  </mergeCells>
  <pageMargins left="2.1694444444444398" right="0.15972222222222199" top="0.78" bottom="0.75" header="0.30972222222222201" footer="0.30972222222222201"/>
  <pageSetup paperSize="125" scale="70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>
  <sheetPr>
    <tabColor rgb="FF00B0F0"/>
    <outlinePr summaryBelow="0" summaryRight="0"/>
    <pageSetUpPr autoPageBreaks="0"/>
  </sheetPr>
  <dimension ref="B2:H324"/>
  <sheetViews>
    <sheetView showOutlineSymbols="0" topLeftCell="A286" workbookViewId="0">
      <selection activeCell="D290" sqref="D290"/>
    </sheetView>
  </sheetViews>
  <sheetFormatPr defaultRowHeight="11.25"/>
  <cols>
    <col min="1" max="1" width="2.85546875" style="1511" customWidth="1"/>
    <col min="2" max="2" width="3.5703125" style="1538" bestFit="1" customWidth="1"/>
    <col min="3" max="3" width="9.85546875" style="1511" customWidth="1"/>
    <col min="4" max="4" width="32.140625" style="1511" customWidth="1"/>
    <col min="5" max="5" width="32" style="1511" customWidth="1"/>
    <col min="6" max="6" width="15.28515625" style="1539" bestFit="1" customWidth="1"/>
    <col min="7" max="7" width="2.85546875" style="1511" customWidth="1"/>
    <col min="8" max="8" width="20.28515625" style="1522" customWidth="1"/>
    <col min="9" max="256" width="9.140625" style="1511"/>
    <col min="257" max="257" width="2.85546875" style="1511" customWidth="1"/>
    <col min="258" max="258" width="3.5703125" style="1511" bestFit="1" customWidth="1"/>
    <col min="259" max="259" width="9.85546875" style="1511" customWidth="1"/>
    <col min="260" max="260" width="32.140625" style="1511" customWidth="1"/>
    <col min="261" max="261" width="36" style="1511" customWidth="1"/>
    <col min="262" max="262" width="14.42578125" style="1511" customWidth="1"/>
    <col min="263" max="512" width="9.140625" style="1511"/>
    <col min="513" max="513" width="2.85546875" style="1511" customWidth="1"/>
    <col min="514" max="514" width="3.5703125" style="1511" bestFit="1" customWidth="1"/>
    <col min="515" max="515" width="9.85546875" style="1511" customWidth="1"/>
    <col min="516" max="516" width="32.140625" style="1511" customWidth="1"/>
    <col min="517" max="517" width="36" style="1511" customWidth="1"/>
    <col min="518" max="518" width="14.42578125" style="1511" customWidth="1"/>
    <col min="519" max="768" width="9.140625" style="1511"/>
    <col min="769" max="769" width="2.85546875" style="1511" customWidth="1"/>
    <col min="770" max="770" width="3.5703125" style="1511" bestFit="1" customWidth="1"/>
    <col min="771" max="771" width="9.85546875" style="1511" customWidth="1"/>
    <col min="772" max="772" width="32.140625" style="1511" customWidth="1"/>
    <col min="773" max="773" width="36" style="1511" customWidth="1"/>
    <col min="774" max="774" width="14.42578125" style="1511" customWidth="1"/>
    <col min="775" max="1024" width="9.140625" style="1511"/>
    <col min="1025" max="1025" width="2.85546875" style="1511" customWidth="1"/>
    <col min="1026" max="1026" width="3.5703125" style="1511" bestFit="1" customWidth="1"/>
    <col min="1027" max="1027" width="9.85546875" style="1511" customWidth="1"/>
    <col min="1028" max="1028" width="32.140625" style="1511" customWidth="1"/>
    <col min="1029" max="1029" width="36" style="1511" customWidth="1"/>
    <col min="1030" max="1030" width="14.42578125" style="1511" customWidth="1"/>
    <col min="1031" max="1280" width="9.140625" style="1511"/>
    <col min="1281" max="1281" width="2.85546875" style="1511" customWidth="1"/>
    <col min="1282" max="1282" width="3.5703125" style="1511" bestFit="1" customWidth="1"/>
    <col min="1283" max="1283" width="9.85546875" style="1511" customWidth="1"/>
    <col min="1284" max="1284" width="32.140625" style="1511" customWidth="1"/>
    <col min="1285" max="1285" width="36" style="1511" customWidth="1"/>
    <col min="1286" max="1286" width="14.42578125" style="1511" customWidth="1"/>
    <col min="1287" max="1536" width="9.140625" style="1511"/>
    <col min="1537" max="1537" width="2.85546875" style="1511" customWidth="1"/>
    <col min="1538" max="1538" width="3.5703125" style="1511" bestFit="1" customWidth="1"/>
    <col min="1539" max="1539" width="9.85546875" style="1511" customWidth="1"/>
    <col min="1540" max="1540" width="32.140625" style="1511" customWidth="1"/>
    <col min="1541" max="1541" width="36" style="1511" customWidth="1"/>
    <col min="1542" max="1542" width="14.42578125" style="1511" customWidth="1"/>
    <col min="1543" max="1792" width="9.140625" style="1511"/>
    <col min="1793" max="1793" width="2.85546875" style="1511" customWidth="1"/>
    <col min="1794" max="1794" width="3.5703125" style="1511" bestFit="1" customWidth="1"/>
    <col min="1795" max="1795" width="9.85546875" style="1511" customWidth="1"/>
    <col min="1796" max="1796" width="32.140625" style="1511" customWidth="1"/>
    <col min="1797" max="1797" width="36" style="1511" customWidth="1"/>
    <col min="1798" max="1798" width="14.42578125" style="1511" customWidth="1"/>
    <col min="1799" max="2048" width="9.140625" style="1511"/>
    <col min="2049" max="2049" width="2.85546875" style="1511" customWidth="1"/>
    <col min="2050" max="2050" width="3.5703125" style="1511" bestFit="1" customWidth="1"/>
    <col min="2051" max="2051" width="9.85546875" style="1511" customWidth="1"/>
    <col min="2052" max="2052" width="32.140625" style="1511" customWidth="1"/>
    <col min="2053" max="2053" width="36" style="1511" customWidth="1"/>
    <col min="2054" max="2054" width="14.42578125" style="1511" customWidth="1"/>
    <col min="2055" max="2304" width="9.140625" style="1511"/>
    <col min="2305" max="2305" width="2.85546875" style="1511" customWidth="1"/>
    <col min="2306" max="2306" width="3.5703125" style="1511" bestFit="1" customWidth="1"/>
    <col min="2307" max="2307" width="9.85546875" style="1511" customWidth="1"/>
    <col min="2308" max="2308" width="32.140625" style="1511" customWidth="1"/>
    <col min="2309" max="2309" width="36" style="1511" customWidth="1"/>
    <col min="2310" max="2310" width="14.42578125" style="1511" customWidth="1"/>
    <col min="2311" max="2560" width="9.140625" style="1511"/>
    <col min="2561" max="2561" width="2.85546875" style="1511" customWidth="1"/>
    <col min="2562" max="2562" width="3.5703125" style="1511" bestFit="1" customWidth="1"/>
    <col min="2563" max="2563" width="9.85546875" style="1511" customWidth="1"/>
    <col min="2564" max="2564" width="32.140625" style="1511" customWidth="1"/>
    <col min="2565" max="2565" width="36" style="1511" customWidth="1"/>
    <col min="2566" max="2566" width="14.42578125" style="1511" customWidth="1"/>
    <col min="2567" max="2816" width="9.140625" style="1511"/>
    <col min="2817" max="2817" width="2.85546875" style="1511" customWidth="1"/>
    <col min="2818" max="2818" width="3.5703125" style="1511" bestFit="1" customWidth="1"/>
    <col min="2819" max="2819" width="9.85546875" style="1511" customWidth="1"/>
    <col min="2820" max="2820" width="32.140625" style="1511" customWidth="1"/>
    <col min="2821" max="2821" width="36" style="1511" customWidth="1"/>
    <col min="2822" max="2822" width="14.42578125" style="1511" customWidth="1"/>
    <col min="2823" max="3072" width="9.140625" style="1511"/>
    <col min="3073" max="3073" width="2.85546875" style="1511" customWidth="1"/>
    <col min="3074" max="3074" width="3.5703125" style="1511" bestFit="1" customWidth="1"/>
    <col min="3075" max="3075" width="9.85546875" style="1511" customWidth="1"/>
    <col min="3076" max="3076" width="32.140625" style="1511" customWidth="1"/>
    <col min="3077" max="3077" width="36" style="1511" customWidth="1"/>
    <col min="3078" max="3078" width="14.42578125" style="1511" customWidth="1"/>
    <col min="3079" max="3328" width="9.140625" style="1511"/>
    <col min="3329" max="3329" width="2.85546875" style="1511" customWidth="1"/>
    <col min="3330" max="3330" width="3.5703125" style="1511" bestFit="1" customWidth="1"/>
    <col min="3331" max="3331" width="9.85546875" style="1511" customWidth="1"/>
    <col min="3332" max="3332" width="32.140625" style="1511" customWidth="1"/>
    <col min="3333" max="3333" width="36" style="1511" customWidth="1"/>
    <col min="3334" max="3334" width="14.42578125" style="1511" customWidth="1"/>
    <col min="3335" max="3584" width="9.140625" style="1511"/>
    <col min="3585" max="3585" width="2.85546875" style="1511" customWidth="1"/>
    <col min="3586" max="3586" width="3.5703125" style="1511" bestFit="1" customWidth="1"/>
    <col min="3587" max="3587" width="9.85546875" style="1511" customWidth="1"/>
    <col min="3588" max="3588" width="32.140625" style="1511" customWidth="1"/>
    <col min="3589" max="3589" width="36" style="1511" customWidth="1"/>
    <col min="3590" max="3590" width="14.42578125" style="1511" customWidth="1"/>
    <col min="3591" max="3840" width="9.140625" style="1511"/>
    <col min="3841" max="3841" width="2.85546875" style="1511" customWidth="1"/>
    <col min="3842" max="3842" width="3.5703125" style="1511" bestFit="1" customWidth="1"/>
    <col min="3843" max="3843" width="9.85546875" style="1511" customWidth="1"/>
    <col min="3844" max="3844" width="32.140625" style="1511" customWidth="1"/>
    <col min="3845" max="3845" width="36" style="1511" customWidth="1"/>
    <col min="3846" max="3846" width="14.42578125" style="1511" customWidth="1"/>
    <col min="3847" max="4096" width="9.140625" style="1511"/>
    <col min="4097" max="4097" width="2.85546875" style="1511" customWidth="1"/>
    <col min="4098" max="4098" width="3.5703125" style="1511" bestFit="1" customWidth="1"/>
    <col min="4099" max="4099" width="9.85546875" style="1511" customWidth="1"/>
    <col min="4100" max="4100" width="32.140625" style="1511" customWidth="1"/>
    <col min="4101" max="4101" width="36" style="1511" customWidth="1"/>
    <col min="4102" max="4102" width="14.42578125" style="1511" customWidth="1"/>
    <col min="4103" max="4352" width="9.140625" style="1511"/>
    <col min="4353" max="4353" width="2.85546875" style="1511" customWidth="1"/>
    <col min="4354" max="4354" width="3.5703125" style="1511" bestFit="1" customWidth="1"/>
    <col min="4355" max="4355" width="9.85546875" style="1511" customWidth="1"/>
    <col min="4356" max="4356" width="32.140625" style="1511" customWidth="1"/>
    <col min="4357" max="4357" width="36" style="1511" customWidth="1"/>
    <col min="4358" max="4358" width="14.42578125" style="1511" customWidth="1"/>
    <col min="4359" max="4608" width="9.140625" style="1511"/>
    <col min="4609" max="4609" width="2.85546875" style="1511" customWidth="1"/>
    <col min="4610" max="4610" width="3.5703125" style="1511" bestFit="1" customWidth="1"/>
    <col min="4611" max="4611" width="9.85546875" style="1511" customWidth="1"/>
    <col min="4612" max="4612" width="32.140625" style="1511" customWidth="1"/>
    <col min="4613" max="4613" width="36" style="1511" customWidth="1"/>
    <col min="4614" max="4614" width="14.42578125" style="1511" customWidth="1"/>
    <col min="4615" max="4864" width="9.140625" style="1511"/>
    <col min="4865" max="4865" width="2.85546875" style="1511" customWidth="1"/>
    <col min="4866" max="4866" width="3.5703125" style="1511" bestFit="1" customWidth="1"/>
    <col min="4867" max="4867" width="9.85546875" style="1511" customWidth="1"/>
    <col min="4868" max="4868" width="32.140625" style="1511" customWidth="1"/>
    <col min="4869" max="4869" width="36" style="1511" customWidth="1"/>
    <col min="4870" max="4870" width="14.42578125" style="1511" customWidth="1"/>
    <col min="4871" max="5120" width="9.140625" style="1511"/>
    <col min="5121" max="5121" width="2.85546875" style="1511" customWidth="1"/>
    <col min="5122" max="5122" width="3.5703125" style="1511" bestFit="1" customWidth="1"/>
    <col min="5123" max="5123" width="9.85546875" style="1511" customWidth="1"/>
    <col min="5124" max="5124" width="32.140625" style="1511" customWidth="1"/>
    <col min="5125" max="5125" width="36" style="1511" customWidth="1"/>
    <col min="5126" max="5126" width="14.42578125" style="1511" customWidth="1"/>
    <col min="5127" max="5376" width="9.140625" style="1511"/>
    <col min="5377" max="5377" width="2.85546875" style="1511" customWidth="1"/>
    <col min="5378" max="5378" width="3.5703125" style="1511" bestFit="1" customWidth="1"/>
    <col min="5379" max="5379" width="9.85546875" style="1511" customWidth="1"/>
    <col min="5380" max="5380" width="32.140625" style="1511" customWidth="1"/>
    <col min="5381" max="5381" width="36" style="1511" customWidth="1"/>
    <col min="5382" max="5382" width="14.42578125" style="1511" customWidth="1"/>
    <col min="5383" max="5632" width="9.140625" style="1511"/>
    <col min="5633" max="5633" width="2.85546875" style="1511" customWidth="1"/>
    <col min="5634" max="5634" width="3.5703125" style="1511" bestFit="1" customWidth="1"/>
    <col min="5635" max="5635" width="9.85546875" style="1511" customWidth="1"/>
    <col min="5636" max="5636" width="32.140625" style="1511" customWidth="1"/>
    <col min="5637" max="5637" width="36" style="1511" customWidth="1"/>
    <col min="5638" max="5638" width="14.42578125" style="1511" customWidth="1"/>
    <col min="5639" max="5888" width="9.140625" style="1511"/>
    <col min="5889" max="5889" width="2.85546875" style="1511" customWidth="1"/>
    <col min="5890" max="5890" width="3.5703125" style="1511" bestFit="1" customWidth="1"/>
    <col min="5891" max="5891" width="9.85546875" style="1511" customWidth="1"/>
    <col min="5892" max="5892" width="32.140625" style="1511" customWidth="1"/>
    <col min="5893" max="5893" width="36" style="1511" customWidth="1"/>
    <col min="5894" max="5894" width="14.42578125" style="1511" customWidth="1"/>
    <col min="5895" max="6144" width="9.140625" style="1511"/>
    <col min="6145" max="6145" width="2.85546875" style="1511" customWidth="1"/>
    <col min="6146" max="6146" width="3.5703125" style="1511" bestFit="1" customWidth="1"/>
    <col min="6147" max="6147" width="9.85546875" style="1511" customWidth="1"/>
    <col min="6148" max="6148" width="32.140625" style="1511" customWidth="1"/>
    <col min="6149" max="6149" width="36" style="1511" customWidth="1"/>
    <col min="6150" max="6150" width="14.42578125" style="1511" customWidth="1"/>
    <col min="6151" max="6400" width="9.140625" style="1511"/>
    <col min="6401" max="6401" width="2.85546875" style="1511" customWidth="1"/>
    <col min="6402" max="6402" width="3.5703125" style="1511" bestFit="1" customWidth="1"/>
    <col min="6403" max="6403" width="9.85546875" style="1511" customWidth="1"/>
    <col min="6404" max="6404" width="32.140625" style="1511" customWidth="1"/>
    <col min="6405" max="6405" width="36" style="1511" customWidth="1"/>
    <col min="6406" max="6406" width="14.42578125" style="1511" customWidth="1"/>
    <col min="6407" max="6656" width="9.140625" style="1511"/>
    <col min="6657" max="6657" width="2.85546875" style="1511" customWidth="1"/>
    <col min="6658" max="6658" width="3.5703125" style="1511" bestFit="1" customWidth="1"/>
    <col min="6659" max="6659" width="9.85546875" style="1511" customWidth="1"/>
    <col min="6660" max="6660" width="32.140625" style="1511" customWidth="1"/>
    <col min="6661" max="6661" width="36" style="1511" customWidth="1"/>
    <col min="6662" max="6662" width="14.42578125" style="1511" customWidth="1"/>
    <col min="6663" max="6912" width="9.140625" style="1511"/>
    <col min="6913" max="6913" width="2.85546875" style="1511" customWidth="1"/>
    <col min="6914" max="6914" width="3.5703125" style="1511" bestFit="1" customWidth="1"/>
    <col min="6915" max="6915" width="9.85546875" style="1511" customWidth="1"/>
    <col min="6916" max="6916" width="32.140625" style="1511" customWidth="1"/>
    <col min="6917" max="6917" width="36" style="1511" customWidth="1"/>
    <col min="6918" max="6918" width="14.42578125" style="1511" customWidth="1"/>
    <col min="6919" max="7168" width="9.140625" style="1511"/>
    <col min="7169" max="7169" width="2.85546875" style="1511" customWidth="1"/>
    <col min="7170" max="7170" width="3.5703125" style="1511" bestFit="1" customWidth="1"/>
    <col min="7171" max="7171" width="9.85546875" style="1511" customWidth="1"/>
    <col min="7172" max="7172" width="32.140625" style="1511" customWidth="1"/>
    <col min="7173" max="7173" width="36" style="1511" customWidth="1"/>
    <col min="7174" max="7174" width="14.42578125" style="1511" customWidth="1"/>
    <col min="7175" max="7424" width="9.140625" style="1511"/>
    <col min="7425" max="7425" width="2.85546875" style="1511" customWidth="1"/>
    <col min="7426" max="7426" width="3.5703125" style="1511" bestFit="1" customWidth="1"/>
    <col min="7427" max="7427" width="9.85546875" style="1511" customWidth="1"/>
    <col min="7428" max="7428" width="32.140625" style="1511" customWidth="1"/>
    <col min="7429" max="7429" width="36" style="1511" customWidth="1"/>
    <col min="7430" max="7430" width="14.42578125" style="1511" customWidth="1"/>
    <col min="7431" max="7680" width="9.140625" style="1511"/>
    <col min="7681" max="7681" width="2.85546875" style="1511" customWidth="1"/>
    <col min="7682" max="7682" width="3.5703125" style="1511" bestFit="1" customWidth="1"/>
    <col min="7683" max="7683" width="9.85546875" style="1511" customWidth="1"/>
    <col min="7684" max="7684" width="32.140625" style="1511" customWidth="1"/>
    <col min="7685" max="7685" width="36" style="1511" customWidth="1"/>
    <col min="7686" max="7686" width="14.42578125" style="1511" customWidth="1"/>
    <col min="7687" max="7936" width="9.140625" style="1511"/>
    <col min="7937" max="7937" width="2.85546875" style="1511" customWidth="1"/>
    <col min="7938" max="7938" width="3.5703125" style="1511" bestFit="1" customWidth="1"/>
    <col min="7939" max="7939" width="9.85546875" style="1511" customWidth="1"/>
    <col min="7940" max="7940" width="32.140625" style="1511" customWidth="1"/>
    <col min="7941" max="7941" width="36" style="1511" customWidth="1"/>
    <col min="7942" max="7942" width="14.42578125" style="1511" customWidth="1"/>
    <col min="7943" max="8192" width="9.140625" style="1511"/>
    <col min="8193" max="8193" width="2.85546875" style="1511" customWidth="1"/>
    <col min="8194" max="8194" width="3.5703125" style="1511" bestFit="1" customWidth="1"/>
    <col min="8195" max="8195" width="9.85546875" style="1511" customWidth="1"/>
    <col min="8196" max="8196" width="32.140625" style="1511" customWidth="1"/>
    <col min="8197" max="8197" width="36" style="1511" customWidth="1"/>
    <col min="8198" max="8198" width="14.42578125" style="1511" customWidth="1"/>
    <col min="8199" max="8448" width="9.140625" style="1511"/>
    <col min="8449" max="8449" width="2.85546875" style="1511" customWidth="1"/>
    <col min="8450" max="8450" width="3.5703125" style="1511" bestFit="1" customWidth="1"/>
    <col min="8451" max="8451" width="9.85546875" style="1511" customWidth="1"/>
    <col min="8452" max="8452" width="32.140625" style="1511" customWidth="1"/>
    <col min="8453" max="8453" width="36" style="1511" customWidth="1"/>
    <col min="8454" max="8454" width="14.42578125" style="1511" customWidth="1"/>
    <col min="8455" max="8704" width="9.140625" style="1511"/>
    <col min="8705" max="8705" width="2.85546875" style="1511" customWidth="1"/>
    <col min="8706" max="8706" width="3.5703125" style="1511" bestFit="1" customWidth="1"/>
    <col min="8707" max="8707" width="9.85546875" style="1511" customWidth="1"/>
    <col min="8708" max="8708" width="32.140625" style="1511" customWidth="1"/>
    <col min="8709" max="8709" width="36" style="1511" customWidth="1"/>
    <col min="8710" max="8710" width="14.42578125" style="1511" customWidth="1"/>
    <col min="8711" max="8960" width="9.140625" style="1511"/>
    <col min="8961" max="8961" width="2.85546875" style="1511" customWidth="1"/>
    <col min="8962" max="8962" width="3.5703125" style="1511" bestFit="1" customWidth="1"/>
    <col min="8963" max="8963" width="9.85546875" style="1511" customWidth="1"/>
    <col min="8964" max="8964" width="32.140625" style="1511" customWidth="1"/>
    <col min="8965" max="8965" width="36" style="1511" customWidth="1"/>
    <col min="8966" max="8966" width="14.42578125" style="1511" customWidth="1"/>
    <col min="8967" max="9216" width="9.140625" style="1511"/>
    <col min="9217" max="9217" width="2.85546875" style="1511" customWidth="1"/>
    <col min="9218" max="9218" width="3.5703125" style="1511" bestFit="1" customWidth="1"/>
    <col min="9219" max="9219" width="9.85546875" style="1511" customWidth="1"/>
    <col min="9220" max="9220" width="32.140625" style="1511" customWidth="1"/>
    <col min="9221" max="9221" width="36" style="1511" customWidth="1"/>
    <col min="9222" max="9222" width="14.42578125" style="1511" customWidth="1"/>
    <col min="9223" max="9472" width="9.140625" style="1511"/>
    <col min="9473" max="9473" width="2.85546875" style="1511" customWidth="1"/>
    <col min="9474" max="9474" width="3.5703125" style="1511" bestFit="1" customWidth="1"/>
    <col min="9475" max="9475" width="9.85546875" style="1511" customWidth="1"/>
    <col min="9476" max="9476" width="32.140625" style="1511" customWidth="1"/>
    <col min="9477" max="9477" width="36" style="1511" customWidth="1"/>
    <col min="9478" max="9478" width="14.42578125" style="1511" customWidth="1"/>
    <col min="9479" max="9728" width="9.140625" style="1511"/>
    <col min="9729" max="9729" width="2.85546875" style="1511" customWidth="1"/>
    <col min="9730" max="9730" width="3.5703125" style="1511" bestFit="1" customWidth="1"/>
    <col min="9731" max="9731" width="9.85546875" style="1511" customWidth="1"/>
    <col min="9732" max="9732" width="32.140625" style="1511" customWidth="1"/>
    <col min="9733" max="9733" width="36" style="1511" customWidth="1"/>
    <col min="9734" max="9734" width="14.42578125" style="1511" customWidth="1"/>
    <col min="9735" max="9984" width="9.140625" style="1511"/>
    <col min="9985" max="9985" width="2.85546875" style="1511" customWidth="1"/>
    <col min="9986" max="9986" width="3.5703125" style="1511" bestFit="1" customWidth="1"/>
    <col min="9987" max="9987" width="9.85546875" style="1511" customWidth="1"/>
    <col min="9988" max="9988" width="32.140625" style="1511" customWidth="1"/>
    <col min="9989" max="9989" width="36" style="1511" customWidth="1"/>
    <col min="9990" max="9990" width="14.42578125" style="1511" customWidth="1"/>
    <col min="9991" max="10240" width="9.140625" style="1511"/>
    <col min="10241" max="10241" width="2.85546875" style="1511" customWidth="1"/>
    <col min="10242" max="10242" width="3.5703125" style="1511" bestFit="1" customWidth="1"/>
    <col min="10243" max="10243" width="9.85546875" style="1511" customWidth="1"/>
    <col min="10244" max="10244" width="32.140625" style="1511" customWidth="1"/>
    <col min="10245" max="10245" width="36" style="1511" customWidth="1"/>
    <col min="10246" max="10246" width="14.42578125" style="1511" customWidth="1"/>
    <col min="10247" max="10496" width="9.140625" style="1511"/>
    <col min="10497" max="10497" width="2.85546875" style="1511" customWidth="1"/>
    <col min="10498" max="10498" width="3.5703125" style="1511" bestFit="1" customWidth="1"/>
    <col min="10499" max="10499" width="9.85546875" style="1511" customWidth="1"/>
    <col min="10500" max="10500" width="32.140625" style="1511" customWidth="1"/>
    <col min="10501" max="10501" width="36" style="1511" customWidth="1"/>
    <col min="10502" max="10502" width="14.42578125" style="1511" customWidth="1"/>
    <col min="10503" max="10752" width="9.140625" style="1511"/>
    <col min="10753" max="10753" width="2.85546875" style="1511" customWidth="1"/>
    <col min="10754" max="10754" width="3.5703125" style="1511" bestFit="1" customWidth="1"/>
    <col min="10755" max="10755" width="9.85546875" style="1511" customWidth="1"/>
    <col min="10756" max="10756" width="32.140625" style="1511" customWidth="1"/>
    <col min="10757" max="10757" width="36" style="1511" customWidth="1"/>
    <col min="10758" max="10758" width="14.42578125" style="1511" customWidth="1"/>
    <col min="10759" max="11008" width="9.140625" style="1511"/>
    <col min="11009" max="11009" width="2.85546875" style="1511" customWidth="1"/>
    <col min="11010" max="11010" width="3.5703125" style="1511" bestFit="1" customWidth="1"/>
    <col min="11011" max="11011" width="9.85546875" style="1511" customWidth="1"/>
    <col min="11012" max="11012" width="32.140625" style="1511" customWidth="1"/>
    <col min="11013" max="11013" width="36" style="1511" customWidth="1"/>
    <col min="11014" max="11014" width="14.42578125" style="1511" customWidth="1"/>
    <col min="11015" max="11264" width="9.140625" style="1511"/>
    <col min="11265" max="11265" width="2.85546875" style="1511" customWidth="1"/>
    <col min="11266" max="11266" width="3.5703125" style="1511" bestFit="1" customWidth="1"/>
    <col min="11267" max="11267" width="9.85546875" style="1511" customWidth="1"/>
    <col min="11268" max="11268" width="32.140625" style="1511" customWidth="1"/>
    <col min="11269" max="11269" width="36" style="1511" customWidth="1"/>
    <col min="11270" max="11270" width="14.42578125" style="1511" customWidth="1"/>
    <col min="11271" max="11520" width="9.140625" style="1511"/>
    <col min="11521" max="11521" width="2.85546875" style="1511" customWidth="1"/>
    <col min="11522" max="11522" width="3.5703125" style="1511" bestFit="1" customWidth="1"/>
    <col min="11523" max="11523" width="9.85546875" style="1511" customWidth="1"/>
    <col min="11524" max="11524" width="32.140625" style="1511" customWidth="1"/>
    <col min="11525" max="11525" width="36" style="1511" customWidth="1"/>
    <col min="11526" max="11526" width="14.42578125" style="1511" customWidth="1"/>
    <col min="11527" max="11776" width="9.140625" style="1511"/>
    <col min="11777" max="11777" width="2.85546875" style="1511" customWidth="1"/>
    <col min="11778" max="11778" width="3.5703125" style="1511" bestFit="1" customWidth="1"/>
    <col min="11779" max="11779" width="9.85546875" style="1511" customWidth="1"/>
    <col min="11780" max="11780" width="32.140625" style="1511" customWidth="1"/>
    <col min="11781" max="11781" width="36" style="1511" customWidth="1"/>
    <col min="11782" max="11782" width="14.42578125" style="1511" customWidth="1"/>
    <col min="11783" max="12032" width="9.140625" style="1511"/>
    <col min="12033" max="12033" width="2.85546875" style="1511" customWidth="1"/>
    <col min="12034" max="12034" width="3.5703125" style="1511" bestFit="1" customWidth="1"/>
    <col min="12035" max="12035" width="9.85546875" style="1511" customWidth="1"/>
    <col min="12036" max="12036" width="32.140625" style="1511" customWidth="1"/>
    <col min="12037" max="12037" width="36" style="1511" customWidth="1"/>
    <col min="12038" max="12038" width="14.42578125" style="1511" customWidth="1"/>
    <col min="12039" max="12288" width="9.140625" style="1511"/>
    <col min="12289" max="12289" width="2.85546875" style="1511" customWidth="1"/>
    <col min="12290" max="12290" width="3.5703125" style="1511" bestFit="1" customWidth="1"/>
    <col min="12291" max="12291" width="9.85546875" style="1511" customWidth="1"/>
    <col min="12292" max="12292" width="32.140625" style="1511" customWidth="1"/>
    <col min="12293" max="12293" width="36" style="1511" customWidth="1"/>
    <col min="12294" max="12294" width="14.42578125" style="1511" customWidth="1"/>
    <col min="12295" max="12544" width="9.140625" style="1511"/>
    <col min="12545" max="12545" width="2.85546875" style="1511" customWidth="1"/>
    <col min="12546" max="12546" width="3.5703125" style="1511" bestFit="1" customWidth="1"/>
    <col min="12547" max="12547" width="9.85546875" style="1511" customWidth="1"/>
    <col min="12548" max="12548" width="32.140625" style="1511" customWidth="1"/>
    <col min="12549" max="12549" width="36" style="1511" customWidth="1"/>
    <col min="12550" max="12550" width="14.42578125" style="1511" customWidth="1"/>
    <col min="12551" max="12800" width="9.140625" style="1511"/>
    <col min="12801" max="12801" width="2.85546875" style="1511" customWidth="1"/>
    <col min="12802" max="12802" width="3.5703125" style="1511" bestFit="1" customWidth="1"/>
    <col min="12803" max="12803" width="9.85546875" style="1511" customWidth="1"/>
    <col min="12804" max="12804" width="32.140625" style="1511" customWidth="1"/>
    <col min="12805" max="12805" width="36" style="1511" customWidth="1"/>
    <col min="12806" max="12806" width="14.42578125" style="1511" customWidth="1"/>
    <col min="12807" max="13056" width="9.140625" style="1511"/>
    <col min="13057" max="13057" width="2.85546875" style="1511" customWidth="1"/>
    <col min="13058" max="13058" width="3.5703125" style="1511" bestFit="1" customWidth="1"/>
    <col min="13059" max="13059" width="9.85546875" style="1511" customWidth="1"/>
    <col min="13060" max="13060" width="32.140625" style="1511" customWidth="1"/>
    <col min="13061" max="13061" width="36" style="1511" customWidth="1"/>
    <col min="13062" max="13062" width="14.42578125" style="1511" customWidth="1"/>
    <col min="13063" max="13312" width="9.140625" style="1511"/>
    <col min="13313" max="13313" width="2.85546875" style="1511" customWidth="1"/>
    <col min="13314" max="13314" width="3.5703125" style="1511" bestFit="1" customWidth="1"/>
    <col min="13315" max="13315" width="9.85546875" style="1511" customWidth="1"/>
    <col min="13316" max="13316" width="32.140625" style="1511" customWidth="1"/>
    <col min="13317" max="13317" width="36" style="1511" customWidth="1"/>
    <col min="13318" max="13318" width="14.42578125" style="1511" customWidth="1"/>
    <col min="13319" max="13568" width="9.140625" style="1511"/>
    <col min="13569" max="13569" width="2.85546875" style="1511" customWidth="1"/>
    <col min="13570" max="13570" width="3.5703125" style="1511" bestFit="1" customWidth="1"/>
    <col min="13571" max="13571" width="9.85546875" style="1511" customWidth="1"/>
    <col min="13572" max="13572" width="32.140625" style="1511" customWidth="1"/>
    <col min="13573" max="13573" width="36" style="1511" customWidth="1"/>
    <col min="13574" max="13574" width="14.42578125" style="1511" customWidth="1"/>
    <col min="13575" max="13824" width="9.140625" style="1511"/>
    <col min="13825" max="13825" width="2.85546875" style="1511" customWidth="1"/>
    <col min="13826" max="13826" width="3.5703125" style="1511" bestFit="1" customWidth="1"/>
    <col min="13827" max="13827" width="9.85546875" style="1511" customWidth="1"/>
    <col min="13828" max="13828" width="32.140625" style="1511" customWidth="1"/>
    <col min="13829" max="13829" width="36" style="1511" customWidth="1"/>
    <col min="13830" max="13830" width="14.42578125" style="1511" customWidth="1"/>
    <col min="13831" max="14080" width="9.140625" style="1511"/>
    <col min="14081" max="14081" width="2.85546875" style="1511" customWidth="1"/>
    <col min="14082" max="14082" width="3.5703125" style="1511" bestFit="1" customWidth="1"/>
    <col min="14083" max="14083" width="9.85546875" style="1511" customWidth="1"/>
    <col min="14084" max="14084" width="32.140625" style="1511" customWidth="1"/>
    <col min="14085" max="14085" width="36" style="1511" customWidth="1"/>
    <col min="14086" max="14086" width="14.42578125" style="1511" customWidth="1"/>
    <col min="14087" max="14336" width="9.140625" style="1511"/>
    <col min="14337" max="14337" width="2.85546875" style="1511" customWidth="1"/>
    <col min="14338" max="14338" width="3.5703125" style="1511" bestFit="1" customWidth="1"/>
    <col min="14339" max="14339" width="9.85546875" style="1511" customWidth="1"/>
    <col min="14340" max="14340" width="32.140625" style="1511" customWidth="1"/>
    <col min="14341" max="14341" width="36" style="1511" customWidth="1"/>
    <col min="14342" max="14342" width="14.42578125" style="1511" customWidth="1"/>
    <col min="14343" max="14592" width="9.140625" style="1511"/>
    <col min="14593" max="14593" width="2.85546875" style="1511" customWidth="1"/>
    <col min="14594" max="14594" width="3.5703125" style="1511" bestFit="1" customWidth="1"/>
    <col min="14595" max="14595" width="9.85546875" style="1511" customWidth="1"/>
    <col min="14596" max="14596" width="32.140625" style="1511" customWidth="1"/>
    <col min="14597" max="14597" width="36" style="1511" customWidth="1"/>
    <col min="14598" max="14598" width="14.42578125" style="1511" customWidth="1"/>
    <col min="14599" max="14848" width="9.140625" style="1511"/>
    <col min="14849" max="14849" width="2.85546875" style="1511" customWidth="1"/>
    <col min="14850" max="14850" width="3.5703125" style="1511" bestFit="1" customWidth="1"/>
    <col min="14851" max="14851" width="9.85546875" style="1511" customWidth="1"/>
    <col min="14852" max="14852" width="32.140625" style="1511" customWidth="1"/>
    <col min="14853" max="14853" width="36" style="1511" customWidth="1"/>
    <col min="14854" max="14854" width="14.42578125" style="1511" customWidth="1"/>
    <col min="14855" max="15104" width="9.140625" style="1511"/>
    <col min="15105" max="15105" width="2.85546875" style="1511" customWidth="1"/>
    <col min="15106" max="15106" width="3.5703125" style="1511" bestFit="1" customWidth="1"/>
    <col min="15107" max="15107" width="9.85546875" style="1511" customWidth="1"/>
    <col min="15108" max="15108" width="32.140625" style="1511" customWidth="1"/>
    <col min="15109" max="15109" width="36" style="1511" customWidth="1"/>
    <col min="15110" max="15110" width="14.42578125" style="1511" customWidth="1"/>
    <col min="15111" max="15360" width="9.140625" style="1511"/>
    <col min="15361" max="15361" width="2.85546875" style="1511" customWidth="1"/>
    <col min="15362" max="15362" width="3.5703125" style="1511" bestFit="1" customWidth="1"/>
    <col min="15363" max="15363" width="9.85546875" style="1511" customWidth="1"/>
    <col min="15364" max="15364" width="32.140625" style="1511" customWidth="1"/>
    <col min="15365" max="15365" width="36" style="1511" customWidth="1"/>
    <col min="15366" max="15366" width="14.42578125" style="1511" customWidth="1"/>
    <col min="15367" max="15616" width="9.140625" style="1511"/>
    <col min="15617" max="15617" width="2.85546875" style="1511" customWidth="1"/>
    <col min="15618" max="15618" width="3.5703125" style="1511" bestFit="1" customWidth="1"/>
    <col min="15619" max="15619" width="9.85546875" style="1511" customWidth="1"/>
    <col min="15620" max="15620" width="32.140625" style="1511" customWidth="1"/>
    <col min="15621" max="15621" width="36" style="1511" customWidth="1"/>
    <col min="15622" max="15622" width="14.42578125" style="1511" customWidth="1"/>
    <col min="15623" max="15872" width="9.140625" style="1511"/>
    <col min="15873" max="15873" width="2.85546875" style="1511" customWidth="1"/>
    <col min="15874" max="15874" width="3.5703125" style="1511" bestFit="1" customWidth="1"/>
    <col min="15875" max="15875" width="9.85546875" style="1511" customWidth="1"/>
    <col min="15876" max="15876" width="32.140625" style="1511" customWidth="1"/>
    <col min="15877" max="15877" width="36" style="1511" customWidth="1"/>
    <col min="15878" max="15878" width="14.42578125" style="1511" customWidth="1"/>
    <col min="15879" max="16128" width="9.140625" style="1511"/>
    <col min="16129" max="16129" width="2.85546875" style="1511" customWidth="1"/>
    <col min="16130" max="16130" width="3.5703125" style="1511" bestFit="1" customWidth="1"/>
    <col min="16131" max="16131" width="9.85546875" style="1511" customWidth="1"/>
    <col min="16132" max="16132" width="32.140625" style="1511" customWidth="1"/>
    <col min="16133" max="16133" width="36" style="1511" customWidth="1"/>
    <col min="16134" max="16134" width="14.42578125" style="1511" customWidth="1"/>
    <col min="16135" max="16384" width="9.140625" style="1511"/>
  </cols>
  <sheetData>
    <row r="2" spans="2:6" ht="12.75">
      <c r="B2" s="2188" t="s">
        <v>0</v>
      </c>
      <c r="C2" s="2188"/>
      <c r="D2" s="2188"/>
      <c r="E2" s="2188"/>
      <c r="F2" s="2188"/>
    </row>
    <row r="3" spans="2:6" ht="12.75">
      <c r="B3" s="2189" t="s">
        <v>2388</v>
      </c>
      <c r="C3" s="2189"/>
      <c r="D3" s="2189"/>
      <c r="E3" s="2189"/>
      <c r="F3" s="2189"/>
    </row>
    <row r="4" spans="2:6">
      <c r="B4" s="2190" t="s">
        <v>4</v>
      </c>
      <c r="C4" s="2190" t="s">
        <v>113</v>
      </c>
      <c r="D4" s="2190" t="s">
        <v>200</v>
      </c>
      <c r="E4" s="2190" t="s">
        <v>925</v>
      </c>
      <c r="F4" s="2192" t="s">
        <v>202</v>
      </c>
    </row>
    <row r="5" spans="2:6">
      <c r="B5" s="2191"/>
      <c r="C5" s="2191"/>
      <c r="D5" s="2191"/>
      <c r="E5" s="2191"/>
      <c r="F5" s="2193"/>
    </row>
    <row r="6" spans="2:6">
      <c r="B6" s="1512"/>
      <c r="C6" s="1512"/>
      <c r="D6" s="1512"/>
      <c r="E6" s="1512"/>
      <c r="F6" s="1513"/>
    </row>
    <row r="7" spans="2:6">
      <c r="B7" s="1512"/>
      <c r="C7" s="1512"/>
      <c r="D7" s="1514" t="s">
        <v>2389</v>
      </c>
      <c r="E7" s="1512"/>
      <c r="F7" s="1513"/>
    </row>
    <row r="8" spans="2:6">
      <c r="B8" s="1515">
        <v>1</v>
      </c>
      <c r="C8" s="1516">
        <v>43281</v>
      </c>
      <c r="D8" s="1517" t="s">
        <v>2390</v>
      </c>
      <c r="E8" s="1518" t="s">
        <v>2043</v>
      </c>
      <c r="F8" s="1519">
        <v>14351239</v>
      </c>
    </row>
    <row r="9" spans="2:6">
      <c r="B9" s="1515">
        <v>2</v>
      </c>
      <c r="C9" s="1520"/>
      <c r="D9" s="1520"/>
      <c r="E9" s="1518" t="s">
        <v>2391</v>
      </c>
      <c r="F9" s="1519">
        <v>1976240</v>
      </c>
    </row>
    <row r="10" spans="2:6">
      <c r="B10" s="1515">
        <v>3</v>
      </c>
      <c r="C10" s="1520"/>
      <c r="D10" s="1517" t="s">
        <v>2392</v>
      </c>
      <c r="E10" s="1518" t="s">
        <v>2393</v>
      </c>
      <c r="F10" s="1521">
        <v>6208279023.5600004</v>
      </c>
    </row>
    <row r="11" spans="2:6">
      <c r="B11" s="1515">
        <v>4</v>
      </c>
      <c r="C11" s="1520"/>
      <c r="D11" s="1518" t="s">
        <v>2394</v>
      </c>
      <c r="E11" s="1518" t="s">
        <v>2395</v>
      </c>
      <c r="F11" s="1519">
        <v>7900000</v>
      </c>
    </row>
    <row r="12" spans="2:6">
      <c r="B12" s="1515">
        <v>5</v>
      </c>
      <c r="C12" s="1520"/>
      <c r="D12" s="1518" t="s">
        <v>2396</v>
      </c>
      <c r="E12" s="1518" t="s">
        <v>2397</v>
      </c>
      <c r="F12" s="1519">
        <v>39600000</v>
      </c>
    </row>
    <row r="13" spans="2:6">
      <c r="B13" s="1515">
        <v>6</v>
      </c>
      <c r="C13" s="1520"/>
      <c r="D13" s="1518" t="s">
        <v>2398</v>
      </c>
      <c r="E13" s="1518" t="s">
        <v>2399</v>
      </c>
      <c r="F13" s="1519">
        <v>580000</v>
      </c>
    </row>
    <row r="14" spans="2:6">
      <c r="B14" s="1515">
        <v>7</v>
      </c>
      <c r="C14" s="1520"/>
      <c r="D14" s="1518" t="s">
        <v>2400</v>
      </c>
      <c r="E14" s="1518" t="s">
        <v>2401</v>
      </c>
      <c r="F14" s="1519">
        <v>1725000</v>
      </c>
    </row>
    <row r="15" spans="2:6">
      <c r="B15" s="1515">
        <v>8</v>
      </c>
      <c r="C15" s="1520"/>
      <c r="D15" s="1517" t="s">
        <v>2402</v>
      </c>
      <c r="E15" s="1518" t="s">
        <v>2403</v>
      </c>
      <c r="F15" s="1519">
        <v>107811490</v>
      </c>
    </row>
    <row r="16" spans="2:6">
      <c r="B16" s="1515">
        <v>9</v>
      </c>
      <c r="C16" s="1520"/>
      <c r="D16" s="1517" t="s">
        <v>2404</v>
      </c>
      <c r="E16" s="1518" t="s">
        <v>2405</v>
      </c>
      <c r="F16" s="1519">
        <v>444508140</v>
      </c>
    </row>
    <row r="17" spans="2:6">
      <c r="B17" s="1515">
        <v>10</v>
      </c>
      <c r="C17" s="1520"/>
      <c r="D17" s="1520"/>
      <c r="E17" s="1518" t="s">
        <v>2406</v>
      </c>
      <c r="F17" s="1519">
        <v>883867250</v>
      </c>
    </row>
    <row r="18" spans="2:6">
      <c r="B18" s="1515">
        <v>11</v>
      </c>
      <c r="C18" s="1520"/>
      <c r="D18" s="1520"/>
      <c r="E18" s="1518" t="s">
        <v>2407</v>
      </c>
      <c r="F18" s="1519">
        <v>356422010</v>
      </c>
    </row>
    <row r="19" spans="2:6">
      <c r="B19" s="1515">
        <v>12</v>
      </c>
      <c r="C19" s="1520"/>
      <c r="D19" s="1520"/>
      <c r="E19" s="1518" t="s">
        <v>2408</v>
      </c>
      <c r="F19" s="1519">
        <v>66135191</v>
      </c>
    </row>
    <row r="20" spans="2:6">
      <c r="B20" s="1515">
        <v>13</v>
      </c>
      <c r="C20" s="1520"/>
      <c r="D20" s="1520"/>
      <c r="E20" s="1518" t="s">
        <v>2409</v>
      </c>
      <c r="F20" s="1519">
        <v>29065080</v>
      </c>
    </row>
    <row r="21" spans="2:6">
      <c r="B21" s="1515">
        <v>14</v>
      </c>
      <c r="C21" s="1520"/>
      <c r="D21" s="1520"/>
      <c r="E21" s="1518" t="s">
        <v>2035</v>
      </c>
      <c r="F21" s="1519">
        <v>113700000</v>
      </c>
    </row>
    <row r="22" spans="2:6">
      <c r="B22" s="1515">
        <v>15</v>
      </c>
      <c r="C22" s="1520"/>
      <c r="D22" s="1520"/>
      <c r="E22" s="1518" t="s">
        <v>2410</v>
      </c>
      <c r="F22" s="1519">
        <v>2344568000</v>
      </c>
    </row>
    <row r="23" spans="2:6">
      <c r="B23" s="1515">
        <v>16</v>
      </c>
      <c r="C23" s="1520"/>
      <c r="D23" s="1520"/>
      <c r="E23" s="1518" t="s">
        <v>1940</v>
      </c>
      <c r="F23" s="1519">
        <v>253623569</v>
      </c>
    </row>
    <row r="24" spans="2:6" ht="22.5">
      <c r="B24" s="1515">
        <v>17</v>
      </c>
      <c r="C24" s="1520"/>
      <c r="D24" s="1517" t="s">
        <v>2411</v>
      </c>
      <c r="E24" s="1517" t="s">
        <v>2174</v>
      </c>
      <c r="F24" s="1519">
        <v>68403250</v>
      </c>
    </row>
    <row r="25" spans="2:6">
      <c r="B25" s="1515">
        <v>18</v>
      </c>
      <c r="C25" s="1520"/>
      <c r="D25" s="1518" t="s">
        <v>2412</v>
      </c>
      <c r="E25" s="1518" t="s">
        <v>2413</v>
      </c>
      <c r="F25" s="1519">
        <v>13300000</v>
      </c>
    </row>
    <row r="26" spans="2:6">
      <c r="B26" s="1515">
        <v>19</v>
      </c>
      <c r="C26" s="1520"/>
      <c r="D26" s="1518" t="s">
        <v>2414</v>
      </c>
      <c r="E26" s="1518" t="s">
        <v>2415</v>
      </c>
      <c r="F26" s="1519">
        <v>3600000</v>
      </c>
    </row>
    <row r="27" spans="2:6">
      <c r="B27" s="1515">
        <v>20</v>
      </c>
      <c r="C27" s="1520"/>
      <c r="D27" s="1518" t="s">
        <v>2416</v>
      </c>
      <c r="E27" s="1518" t="s">
        <v>2415</v>
      </c>
      <c r="F27" s="1519">
        <v>7940000</v>
      </c>
    </row>
    <row r="28" spans="2:6">
      <c r="B28" s="1515">
        <v>21</v>
      </c>
      <c r="C28" s="1520"/>
      <c r="D28" s="1518" t="s">
        <v>2417</v>
      </c>
      <c r="E28" s="1518" t="s">
        <v>2415</v>
      </c>
      <c r="F28" s="1519">
        <v>2600000</v>
      </c>
    </row>
    <row r="29" spans="2:6">
      <c r="B29" s="1515">
        <v>22</v>
      </c>
      <c r="C29" s="1520"/>
      <c r="D29" s="1518" t="s">
        <v>2418</v>
      </c>
      <c r="E29" s="1518" t="s">
        <v>2415</v>
      </c>
      <c r="F29" s="1519">
        <v>8440000</v>
      </c>
    </row>
    <row r="30" spans="2:6">
      <c r="B30" s="1515">
        <v>23</v>
      </c>
      <c r="C30" s="1520"/>
      <c r="D30" s="1518" t="s">
        <v>2419</v>
      </c>
      <c r="E30" s="1518" t="s">
        <v>2415</v>
      </c>
      <c r="F30" s="1519">
        <v>14725000</v>
      </c>
    </row>
    <row r="31" spans="2:6">
      <c r="B31" s="1515">
        <v>24</v>
      </c>
      <c r="C31" s="1520"/>
      <c r="D31" s="1518" t="s">
        <v>2420</v>
      </c>
      <c r="E31" s="1518" t="s">
        <v>2415</v>
      </c>
      <c r="F31" s="1519">
        <v>11900000</v>
      </c>
    </row>
    <row r="32" spans="2:6">
      <c r="B32" s="1515">
        <v>25</v>
      </c>
      <c r="C32" s="1520"/>
      <c r="D32" s="1518" t="s">
        <v>2421</v>
      </c>
      <c r="E32" s="1518" t="s">
        <v>2415</v>
      </c>
      <c r="F32" s="1519">
        <v>2000000</v>
      </c>
    </row>
    <row r="33" spans="2:6">
      <c r="B33" s="1515">
        <v>26</v>
      </c>
      <c r="C33" s="1520"/>
      <c r="D33" s="1518" t="s">
        <v>2422</v>
      </c>
      <c r="E33" s="1518" t="s">
        <v>2415</v>
      </c>
      <c r="F33" s="1519">
        <v>15200000</v>
      </c>
    </row>
    <row r="34" spans="2:6">
      <c r="B34" s="1515">
        <v>27</v>
      </c>
      <c r="C34" s="1520"/>
      <c r="D34" s="1518" t="s">
        <v>2423</v>
      </c>
      <c r="E34" s="1518" t="s">
        <v>2415</v>
      </c>
      <c r="F34" s="1519">
        <v>42750000</v>
      </c>
    </row>
    <row r="35" spans="2:6">
      <c r="B35" s="1515">
        <v>28</v>
      </c>
      <c r="C35" s="1520"/>
      <c r="D35" s="1518" t="s">
        <v>2424</v>
      </c>
      <c r="E35" s="1518" t="s">
        <v>2415</v>
      </c>
      <c r="F35" s="1519">
        <v>2895000</v>
      </c>
    </row>
    <row r="36" spans="2:6">
      <c r="B36" s="1515">
        <v>29</v>
      </c>
      <c r="C36" s="1520"/>
      <c r="D36" s="1518" t="s">
        <v>2425</v>
      </c>
      <c r="E36" s="1518" t="s">
        <v>2426</v>
      </c>
      <c r="F36" s="1519">
        <v>53466000</v>
      </c>
    </row>
    <row r="37" spans="2:6">
      <c r="B37" s="1515">
        <v>30</v>
      </c>
      <c r="C37" s="1516">
        <v>43281</v>
      </c>
      <c r="D37" s="1518" t="s">
        <v>2427</v>
      </c>
      <c r="E37" s="1518" t="s">
        <v>2428</v>
      </c>
      <c r="F37" s="1519">
        <v>388851000</v>
      </c>
    </row>
    <row r="38" spans="2:6">
      <c r="B38" s="1515">
        <v>31</v>
      </c>
      <c r="C38" s="1520"/>
      <c r="D38" s="1518" t="s">
        <v>2429</v>
      </c>
      <c r="E38" s="1518" t="s">
        <v>2426</v>
      </c>
      <c r="F38" s="1519">
        <v>102200000</v>
      </c>
    </row>
    <row r="39" spans="2:6">
      <c r="B39" s="1515">
        <v>32</v>
      </c>
      <c r="C39" s="1520"/>
      <c r="D39" s="1518" t="s">
        <v>2430</v>
      </c>
      <c r="E39" s="1518" t="s">
        <v>2431</v>
      </c>
      <c r="F39" s="1519">
        <v>2175000</v>
      </c>
    </row>
    <row r="40" spans="2:6">
      <c r="B40" s="1515">
        <v>33</v>
      </c>
      <c r="C40" s="1520"/>
      <c r="D40" s="1518" t="s">
        <v>2432</v>
      </c>
      <c r="E40" s="1518" t="s">
        <v>2406</v>
      </c>
      <c r="F40" s="1519">
        <v>990000</v>
      </c>
    </row>
    <row r="41" spans="2:6">
      <c r="B41" s="1515">
        <v>34</v>
      </c>
      <c r="C41" s="1520"/>
      <c r="D41" s="1518" t="s">
        <v>2433</v>
      </c>
      <c r="E41" s="1518" t="s">
        <v>2434</v>
      </c>
      <c r="F41" s="1519">
        <v>967500</v>
      </c>
    </row>
    <row r="42" spans="2:6">
      <c r="B42" s="1515">
        <v>35</v>
      </c>
      <c r="C42" s="1520"/>
      <c r="D42" s="1518" t="s">
        <v>2435</v>
      </c>
      <c r="E42" s="1518" t="s">
        <v>2436</v>
      </c>
      <c r="F42" s="1519">
        <v>845000</v>
      </c>
    </row>
    <row r="43" spans="2:6">
      <c r="B43" s="1515">
        <v>36</v>
      </c>
      <c r="C43" s="1520"/>
      <c r="D43" s="1518" t="s">
        <v>2437</v>
      </c>
      <c r="E43" s="1518" t="s">
        <v>2438</v>
      </c>
      <c r="F43" s="1519">
        <v>7200000</v>
      </c>
    </row>
    <row r="44" spans="2:6">
      <c r="B44" s="1515">
        <v>37</v>
      </c>
      <c r="C44" s="1520"/>
      <c r="D44" s="1518" t="s">
        <v>2439</v>
      </c>
      <c r="E44" s="1518" t="s">
        <v>2440</v>
      </c>
      <c r="F44" s="1519">
        <v>854900</v>
      </c>
    </row>
    <row r="45" spans="2:6">
      <c r="B45" s="1515">
        <v>38</v>
      </c>
      <c r="C45" s="1520"/>
      <c r="D45" s="1518" t="s">
        <v>2441</v>
      </c>
      <c r="E45" s="1518" t="s">
        <v>2442</v>
      </c>
      <c r="F45" s="1519">
        <v>11000000</v>
      </c>
    </row>
    <row r="46" spans="2:6">
      <c r="B46" s="1515">
        <v>39</v>
      </c>
      <c r="C46" s="1520"/>
      <c r="D46" s="1518" t="s">
        <v>2443</v>
      </c>
      <c r="E46" s="1518" t="s">
        <v>2444</v>
      </c>
      <c r="F46" s="1519">
        <v>3500000</v>
      </c>
    </row>
    <row r="47" spans="2:6">
      <c r="B47" s="1515">
        <v>40</v>
      </c>
      <c r="C47" s="1520"/>
      <c r="D47" s="1518" t="s">
        <v>2445</v>
      </c>
      <c r="E47" s="1518" t="s">
        <v>2446</v>
      </c>
      <c r="F47" s="1519">
        <v>8350000</v>
      </c>
    </row>
    <row r="48" spans="2:6">
      <c r="B48" s="1515">
        <v>41</v>
      </c>
      <c r="C48" s="1520"/>
      <c r="D48" s="1518" t="s">
        <v>2447</v>
      </c>
      <c r="E48" s="1518" t="s">
        <v>2415</v>
      </c>
      <c r="F48" s="1519">
        <v>2918500</v>
      </c>
    </row>
    <row r="49" spans="2:6">
      <c r="B49" s="1515">
        <v>42</v>
      </c>
      <c r="C49" s="1520"/>
      <c r="D49" s="1518" t="s">
        <v>2448</v>
      </c>
      <c r="E49" s="1518" t="s">
        <v>2449</v>
      </c>
      <c r="F49" s="1519">
        <v>1885000</v>
      </c>
    </row>
    <row r="50" spans="2:6">
      <c r="B50" s="1515">
        <v>43</v>
      </c>
      <c r="C50" s="1520"/>
      <c r="D50" s="1518" t="s">
        <v>2450</v>
      </c>
      <c r="E50" s="1518" t="s">
        <v>2451</v>
      </c>
      <c r="F50" s="1519">
        <v>3390000</v>
      </c>
    </row>
    <row r="51" spans="2:6">
      <c r="B51" s="1515">
        <v>44</v>
      </c>
      <c r="C51" s="1520"/>
      <c r="D51" s="1518" t="s">
        <v>2452</v>
      </c>
      <c r="E51" s="1518" t="s">
        <v>2453</v>
      </c>
      <c r="F51" s="1519">
        <v>2050000</v>
      </c>
    </row>
    <row r="52" spans="2:6">
      <c r="B52" s="1515">
        <v>45</v>
      </c>
      <c r="C52" s="1520"/>
      <c r="D52" s="1518" t="s">
        <v>2454</v>
      </c>
      <c r="E52" s="1518" t="s">
        <v>2442</v>
      </c>
      <c r="F52" s="1519">
        <v>4844000</v>
      </c>
    </row>
    <row r="53" spans="2:6">
      <c r="B53" s="1515">
        <v>46</v>
      </c>
      <c r="C53" s="1520"/>
      <c r="D53" s="1518" t="s">
        <v>2455</v>
      </c>
      <c r="E53" s="1518" t="s">
        <v>2453</v>
      </c>
      <c r="F53" s="1519">
        <v>1970000</v>
      </c>
    </row>
    <row r="54" spans="2:6">
      <c r="B54" s="1515">
        <v>47</v>
      </c>
      <c r="C54" s="1520"/>
      <c r="D54" s="1518" t="s">
        <v>2456</v>
      </c>
      <c r="E54" s="1518" t="s">
        <v>2457</v>
      </c>
      <c r="F54" s="1519">
        <v>1430000</v>
      </c>
    </row>
    <row r="55" spans="2:6">
      <c r="B55" s="1515">
        <v>48</v>
      </c>
      <c r="C55" s="1520"/>
      <c r="D55" s="1518" t="s">
        <v>2458</v>
      </c>
      <c r="E55" s="1518" t="s">
        <v>2397</v>
      </c>
      <c r="F55" s="1519">
        <v>10000000</v>
      </c>
    </row>
    <row r="56" spans="2:6">
      <c r="B56" s="1515">
        <v>49</v>
      </c>
      <c r="C56" s="1520"/>
      <c r="D56" s="1518" t="s">
        <v>2459</v>
      </c>
      <c r="E56" s="1518" t="s">
        <v>2460</v>
      </c>
      <c r="F56" s="1519">
        <v>38375000</v>
      </c>
    </row>
    <row r="57" spans="2:6">
      <c r="B57" s="1515">
        <v>50</v>
      </c>
      <c r="C57" s="1520"/>
      <c r="D57" s="1518" t="s">
        <v>2461</v>
      </c>
      <c r="E57" s="1518" t="s">
        <v>2462</v>
      </c>
      <c r="F57" s="1519">
        <v>4694800</v>
      </c>
    </row>
    <row r="58" spans="2:6">
      <c r="B58" s="1515">
        <v>51</v>
      </c>
      <c r="C58" s="1520"/>
      <c r="D58" s="1518" t="s">
        <v>2463</v>
      </c>
      <c r="E58" s="1518" t="s">
        <v>2464</v>
      </c>
      <c r="F58" s="1519">
        <v>12815000</v>
      </c>
    </row>
    <row r="59" spans="2:6">
      <c r="B59" s="1515">
        <v>52</v>
      </c>
      <c r="C59" s="1520"/>
      <c r="D59" s="1518" t="s">
        <v>2465</v>
      </c>
      <c r="E59" s="1518" t="s">
        <v>2397</v>
      </c>
      <c r="F59" s="1519">
        <v>7222000</v>
      </c>
    </row>
    <row r="60" spans="2:6">
      <c r="B60" s="1515">
        <v>53</v>
      </c>
      <c r="C60" s="1520"/>
      <c r="D60" s="1518" t="s">
        <v>2466</v>
      </c>
      <c r="E60" s="1518" t="s">
        <v>2467</v>
      </c>
      <c r="F60" s="1519">
        <v>6200000</v>
      </c>
    </row>
    <row r="61" spans="2:6">
      <c r="B61" s="1515">
        <v>54</v>
      </c>
      <c r="C61" s="1520"/>
      <c r="D61" s="1518" t="s">
        <v>2468</v>
      </c>
      <c r="E61" s="1518" t="s">
        <v>2397</v>
      </c>
      <c r="F61" s="1519">
        <v>79200000</v>
      </c>
    </row>
    <row r="62" spans="2:6">
      <c r="B62" s="1515">
        <v>55</v>
      </c>
      <c r="C62" s="1520"/>
      <c r="D62" s="1518" t="s">
        <v>2469</v>
      </c>
      <c r="E62" s="1518" t="s">
        <v>2409</v>
      </c>
      <c r="F62" s="1519">
        <v>32000000</v>
      </c>
    </row>
    <row r="63" spans="2:6">
      <c r="B63" s="1515">
        <v>56</v>
      </c>
      <c r="C63" s="1520"/>
      <c r="D63" s="1518" t="s">
        <v>2470</v>
      </c>
      <c r="E63" s="1518" t="s">
        <v>2409</v>
      </c>
      <c r="F63" s="1519">
        <v>15750000</v>
      </c>
    </row>
    <row r="64" spans="2:6">
      <c r="B64" s="1515">
        <v>57</v>
      </c>
      <c r="C64" s="1520"/>
      <c r="D64" s="1518" t="s">
        <v>2471</v>
      </c>
      <c r="E64" s="1518" t="s">
        <v>2462</v>
      </c>
      <c r="F64" s="1519">
        <v>2860000</v>
      </c>
    </row>
    <row r="65" spans="2:6" ht="12" thickBot="1">
      <c r="B65" s="1927">
        <v>58</v>
      </c>
      <c r="C65" s="1928">
        <v>43465</v>
      </c>
      <c r="D65" s="1929" t="s">
        <v>2472</v>
      </c>
      <c r="E65" s="1929" t="s">
        <v>2473</v>
      </c>
      <c r="F65" s="1930">
        <v>528821000</v>
      </c>
    </row>
    <row r="66" spans="2:6">
      <c r="B66" s="1515">
        <v>59</v>
      </c>
      <c r="C66" s="1520"/>
      <c r="D66" s="1517" t="s">
        <v>2474</v>
      </c>
      <c r="E66" s="1518" t="s">
        <v>2473</v>
      </c>
      <c r="F66" s="1519">
        <v>155000000</v>
      </c>
    </row>
    <row r="67" spans="2:6">
      <c r="B67" s="1515">
        <v>60</v>
      </c>
      <c r="C67" s="1516">
        <v>43465</v>
      </c>
      <c r="D67" s="1517" t="s">
        <v>2475</v>
      </c>
      <c r="E67" s="1518" t="s">
        <v>2473</v>
      </c>
      <c r="F67" s="1519">
        <v>141283600</v>
      </c>
    </row>
    <row r="68" spans="2:6">
      <c r="B68" s="1515">
        <v>61</v>
      </c>
      <c r="C68" s="1520"/>
      <c r="D68" s="1517" t="s">
        <v>2476</v>
      </c>
      <c r="E68" s="1518" t="s">
        <v>2473</v>
      </c>
      <c r="F68" s="1519">
        <v>229063300</v>
      </c>
    </row>
    <row r="69" spans="2:6">
      <c r="B69" s="1515">
        <v>62</v>
      </c>
      <c r="C69" s="1520"/>
      <c r="D69" s="1517" t="s">
        <v>2477</v>
      </c>
      <c r="E69" s="1518" t="s">
        <v>2473</v>
      </c>
      <c r="F69" s="1519">
        <v>125500000</v>
      </c>
    </row>
    <row r="70" spans="2:6">
      <c r="B70" s="1515">
        <v>63</v>
      </c>
      <c r="C70" s="1520"/>
      <c r="D70" s="1517" t="s">
        <v>2478</v>
      </c>
      <c r="E70" s="1518" t="s">
        <v>2473</v>
      </c>
      <c r="F70" s="1519">
        <v>537349000</v>
      </c>
    </row>
    <row r="71" spans="2:6">
      <c r="B71" s="1515">
        <v>64</v>
      </c>
      <c r="C71" s="1520"/>
      <c r="D71" s="1517" t="s">
        <v>2479</v>
      </c>
      <c r="E71" s="1518" t="s">
        <v>2473</v>
      </c>
      <c r="F71" s="1519">
        <v>271983700</v>
      </c>
    </row>
    <row r="72" spans="2:6">
      <c r="B72" s="1515">
        <v>65</v>
      </c>
      <c r="C72" s="1520"/>
      <c r="D72" s="1517" t="s">
        <v>2480</v>
      </c>
      <c r="E72" s="1518" t="s">
        <v>2473</v>
      </c>
      <c r="F72" s="1519">
        <v>1063265100</v>
      </c>
    </row>
    <row r="73" spans="2:6">
      <c r="B73" s="1515">
        <v>66</v>
      </c>
      <c r="C73" s="1520"/>
      <c r="D73" s="1517" t="s">
        <v>2481</v>
      </c>
      <c r="E73" s="1518" t="s">
        <v>2473</v>
      </c>
      <c r="F73" s="1519">
        <v>214843000</v>
      </c>
    </row>
    <row r="74" spans="2:6">
      <c r="B74" s="1515">
        <v>67</v>
      </c>
      <c r="C74" s="1520"/>
      <c r="D74" s="1517" t="s">
        <v>2482</v>
      </c>
      <c r="E74" s="1518" t="s">
        <v>2473</v>
      </c>
      <c r="F74" s="1519">
        <v>548505000</v>
      </c>
    </row>
    <row r="75" spans="2:6">
      <c r="B75" s="1515">
        <v>68</v>
      </c>
      <c r="C75" s="1520"/>
      <c r="D75" s="1517" t="s">
        <v>2483</v>
      </c>
      <c r="E75" s="1518" t="s">
        <v>2473</v>
      </c>
      <c r="F75" s="1519">
        <v>545000934</v>
      </c>
    </row>
    <row r="76" spans="2:6">
      <c r="B76" s="1515">
        <v>69</v>
      </c>
      <c r="C76" s="1520"/>
      <c r="D76" s="1517" t="s">
        <v>2484</v>
      </c>
      <c r="E76" s="1518" t="s">
        <v>2485</v>
      </c>
      <c r="F76" s="1519">
        <v>20000000</v>
      </c>
    </row>
    <row r="77" spans="2:6">
      <c r="B77" s="1515"/>
      <c r="C77" s="1520"/>
      <c r="D77" s="1517"/>
      <c r="E77" s="1518" t="s">
        <v>2486</v>
      </c>
      <c r="F77" s="1519">
        <v>199150000</v>
      </c>
    </row>
    <row r="78" spans="2:6">
      <c r="B78" s="1515">
        <v>71</v>
      </c>
      <c r="C78" s="1520"/>
      <c r="D78" s="1517" t="s">
        <v>2487</v>
      </c>
      <c r="E78" s="1518" t="s">
        <v>2473</v>
      </c>
      <c r="F78" s="1519">
        <v>100000000</v>
      </c>
    </row>
    <row r="79" spans="2:6">
      <c r="B79" s="1515">
        <v>72</v>
      </c>
      <c r="C79" s="1520"/>
      <c r="D79" s="1517" t="s">
        <v>2488</v>
      </c>
      <c r="E79" s="1518" t="s">
        <v>2473</v>
      </c>
      <c r="F79" s="1519">
        <v>492335000</v>
      </c>
    </row>
    <row r="80" spans="2:6">
      <c r="B80" s="1515">
        <v>73</v>
      </c>
      <c r="C80" s="1520"/>
      <c r="D80" s="1517" t="s">
        <v>2489</v>
      </c>
      <c r="E80" s="1518" t="s">
        <v>2473</v>
      </c>
      <c r="F80" s="1519">
        <v>227420000</v>
      </c>
    </row>
    <row r="81" spans="2:8">
      <c r="B81" s="1515">
        <v>74</v>
      </c>
      <c r="C81" s="1520"/>
      <c r="D81" s="1517" t="s">
        <v>2490</v>
      </c>
      <c r="E81" s="1518" t="s">
        <v>2473</v>
      </c>
      <c r="F81" s="1519">
        <v>100000000</v>
      </c>
    </row>
    <row r="82" spans="2:8">
      <c r="B82" s="1515">
        <v>75</v>
      </c>
      <c r="C82" s="1520"/>
      <c r="D82" s="1517" t="s">
        <v>2491</v>
      </c>
      <c r="E82" s="1518" t="s">
        <v>2473</v>
      </c>
      <c r="F82" s="1519">
        <v>812495000</v>
      </c>
    </row>
    <row r="83" spans="2:8">
      <c r="B83" s="1515">
        <v>76</v>
      </c>
      <c r="C83" s="1520"/>
      <c r="D83" s="1517" t="s">
        <v>2492</v>
      </c>
      <c r="E83" s="1518" t="s">
        <v>2473</v>
      </c>
      <c r="F83" s="1519">
        <v>219065000</v>
      </c>
    </row>
    <row r="84" spans="2:8">
      <c r="B84" s="1515">
        <v>77</v>
      </c>
      <c r="C84" s="1520"/>
      <c r="D84" s="1517" t="s">
        <v>2493</v>
      </c>
      <c r="E84" s="1518" t="s">
        <v>2473</v>
      </c>
      <c r="F84" s="1519">
        <v>155000000</v>
      </c>
    </row>
    <row r="85" spans="2:8">
      <c r="B85" s="1515">
        <v>78</v>
      </c>
      <c r="C85" s="1520"/>
      <c r="D85" s="1517" t="s">
        <v>2494</v>
      </c>
      <c r="E85" s="1518" t="s">
        <v>2473</v>
      </c>
      <c r="F85" s="1519">
        <v>457045000</v>
      </c>
      <c r="H85" s="1522">
        <f>SUM(F65:F85)</f>
        <v>7143124634</v>
      </c>
    </row>
    <row r="86" spans="2:8">
      <c r="B86" s="1515">
        <v>79</v>
      </c>
      <c r="C86" s="1516">
        <v>43465</v>
      </c>
      <c r="D86" s="1517" t="s">
        <v>2495</v>
      </c>
      <c r="E86" s="1518" t="s">
        <v>2473</v>
      </c>
      <c r="F86" s="1519">
        <v>669670000</v>
      </c>
    </row>
    <row r="87" spans="2:8">
      <c r="B87" s="1515">
        <v>80</v>
      </c>
      <c r="C87" s="1520"/>
      <c r="D87" s="1517" t="s">
        <v>2496</v>
      </c>
      <c r="E87" s="1518" t="s">
        <v>2473</v>
      </c>
      <c r="F87" s="1519">
        <v>227190000</v>
      </c>
    </row>
    <row r="88" spans="2:8">
      <c r="B88" s="1515">
        <v>81</v>
      </c>
      <c r="C88" s="1520"/>
      <c r="D88" s="1517" t="s">
        <v>2497</v>
      </c>
      <c r="E88" s="1518" t="s">
        <v>2473</v>
      </c>
      <c r="F88" s="1519">
        <v>155000000</v>
      </c>
    </row>
    <row r="89" spans="2:8">
      <c r="B89" s="1515">
        <v>82</v>
      </c>
      <c r="C89" s="1520"/>
      <c r="D89" s="1517" t="s">
        <v>2498</v>
      </c>
      <c r="E89" s="1518" t="s">
        <v>2499</v>
      </c>
      <c r="F89" s="1519">
        <v>203400000</v>
      </c>
    </row>
    <row r="90" spans="2:8">
      <c r="B90" s="1515">
        <v>83</v>
      </c>
      <c r="C90" s="1520"/>
      <c r="D90" s="1517" t="s">
        <v>2500</v>
      </c>
      <c r="E90" s="1518" t="s">
        <v>2473</v>
      </c>
      <c r="F90" s="1519">
        <v>155000000</v>
      </c>
    </row>
    <row r="91" spans="2:8">
      <c r="B91" s="1515">
        <v>84</v>
      </c>
      <c r="C91" s="1520"/>
      <c r="D91" s="1517" t="s">
        <v>2501</v>
      </c>
      <c r="E91" s="1518" t="s">
        <v>2473</v>
      </c>
      <c r="F91" s="1519">
        <v>2000000000</v>
      </c>
    </row>
    <row r="92" spans="2:8">
      <c r="B92" s="1515">
        <v>85</v>
      </c>
      <c r="C92" s="1520"/>
      <c r="D92" s="1517" t="s">
        <v>2502</v>
      </c>
      <c r="E92" s="1518" t="s">
        <v>2473</v>
      </c>
      <c r="F92" s="1519">
        <v>203400000</v>
      </c>
    </row>
    <row r="93" spans="2:8">
      <c r="B93" s="1515">
        <v>86</v>
      </c>
      <c r="C93" s="1520"/>
      <c r="D93" s="1517" t="s">
        <v>2503</v>
      </c>
      <c r="E93" s="1518" t="s">
        <v>2473</v>
      </c>
      <c r="F93" s="1519">
        <v>218442000</v>
      </c>
    </row>
    <row r="94" spans="2:8">
      <c r="B94" s="1515">
        <v>87</v>
      </c>
      <c r="C94" s="1520"/>
      <c r="D94" s="1517" t="s">
        <v>2504</v>
      </c>
      <c r="E94" s="1518" t="s">
        <v>2473</v>
      </c>
      <c r="F94" s="1519">
        <v>90000000</v>
      </c>
    </row>
    <row r="95" spans="2:8">
      <c r="B95" s="1515">
        <v>88</v>
      </c>
      <c r="C95" s="1520"/>
      <c r="D95" s="1517" t="s">
        <v>2505</v>
      </c>
      <c r="E95" s="1518" t="s">
        <v>2506</v>
      </c>
      <c r="F95" s="1519">
        <v>203400000</v>
      </c>
    </row>
    <row r="96" spans="2:8">
      <c r="B96" s="1515">
        <v>89</v>
      </c>
      <c r="C96" s="1520"/>
      <c r="D96" s="1517" t="s">
        <v>2507</v>
      </c>
      <c r="E96" s="1518" t="s">
        <v>2473</v>
      </c>
      <c r="F96" s="1519">
        <v>451550000</v>
      </c>
    </row>
    <row r="97" spans="2:8">
      <c r="B97" s="1515">
        <v>90</v>
      </c>
      <c r="C97" s="1520"/>
      <c r="D97" s="1517" t="s">
        <v>2508</v>
      </c>
      <c r="E97" s="1518" t="s">
        <v>2473</v>
      </c>
      <c r="F97" s="1519">
        <v>228050000</v>
      </c>
    </row>
    <row r="98" spans="2:8">
      <c r="B98" s="1515">
        <v>91</v>
      </c>
      <c r="C98" s="1520"/>
      <c r="D98" s="1517" t="s">
        <v>2509</v>
      </c>
      <c r="E98" s="1518" t="s">
        <v>2473</v>
      </c>
      <c r="F98" s="1519">
        <v>278821000</v>
      </c>
    </row>
    <row r="99" spans="2:8">
      <c r="B99" s="1515">
        <v>92</v>
      </c>
      <c r="C99" s="1520"/>
      <c r="D99" s="1517" t="s">
        <v>2510</v>
      </c>
      <c r="E99" s="1518" t="s">
        <v>2473</v>
      </c>
      <c r="F99" s="1519">
        <v>380476000</v>
      </c>
    </row>
    <row r="100" spans="2:8">
      <c r="B100" s="1515">
        <v>93</v>
      </c>
      <c r="C100" s="1520"/>
      <c r="D100" s="1517" t="s">
        <v>2511</v>
      </c>
      <c r="E100" s="1518" t="s">
        <v>2473</v>
      </c>
      <c r="F100" s="1519">
        <v>280476000</v>
      </c>
    </row>
    <row r="101" spans="2:8">
      <c r="B101" s="1515">
        <v>94</v>
      </c>
      <c r="C101" s="1520"/>
      <c r="D101" s="1517" t="s">
        <v>2512</v>
      </c>
      <c r="E101" s="1518" t="s">
        <v>2473</v>
      </c>
      <c r="F101" s="1519">
        <v>303498000</v>
      </c>
    </row>
    <row r="102" spans="2:8">
      <c r="B102" s="1515">
        <v>95</v>
      </c>
      <c r="C102" s="1520"/>
      <c r="D102" s="1517" t="s">
        <v>2513</v>
      </c>
      <c r="E102" s="1518" t="s">
        <v>2473</v>
      </c>
      <c r="F102" s="1519">
        <v>250000000</v>
      </c>
    </row>
    <row r="103" spans="2:8">
      <c r="B103" s="1515">
        <v>96</v>
      </c>
      <c r="C103" s="1520"/>
      <c r="D103" s="1517" t="s">
        <v>2514</v>
      </c>
      <c r="E103" s="1518" t="s">
        <v>2473</v>
      </c>
      <c r="F103" s="1519">
        <v>100000000</v>
      </c>
      <c r="H103" s="1522">
        <f>SUM(F86:F103)</f>
        <v>6398373000</v>
      </c>
    </row>
    <row r="104" spans="2:8">
      <c r="B104" s="1515">
        <v>97</v>
      </c>
      <c r="C104" s="1516">
        <v>43465</v>
      </c>
      <c r="D104" s="1517" t="s">
        <v>2515</v>
      </c>
      <c r="E104" s="1518" t="s">
        <v>2473</v>
      </c>
      <c r="F104" s="1519">
        <v>280476000</v>
      </c>
    </row>
    <row r="105" spans="2:8">
      <c r="B105" s="1515">
        <v>98</v>
      </c>
      <c r="C105" s="1520"/>
      <c r="D105" s="1517" t="s">
        <v>2516</v>
      </c>
      <c r="E105" s="1518" t="s">
        <v>2473</v>
      </c>
      <c r="F105" s="1519">
        <v>284979000</v>
      </c>
    </row>
    <row r="106" spans="2:8">
      <c r="B106" s="1515">
        <v>99</v>
      </c>
      <c r="C106" s="1520"/>
      <c r="D106" s="1517" t="s">
        <v>2517</v>
      </c>
      <c r="E106" s="1518" t="s">
        <v>2473</v>
      </c>
      <c r="F106" s="1519">
        <v>392431000</v>
      </c>
    </row>
    <row r="107" spans="2:8">
      <c r="B107" s="1515">
        <v>100</v>
      </c>
      <c r="C107" s="1520"/>
      <c r="D107" s="1517" t="s">
        <v>2518</v>
      </c>
      <c r="E107" s="1518" t="s">
        <v>2473</v>
      </c>
      <c r="F107" s="1519">
        <v>250000000</v>
      </c>
    </row>
    <row r="108" spans="2:8">
      <c r="B108" s="1515">
        <v>101</v>
      </c>
      <c r="C108" s="1520"/>
      <c r="D108" s="1517" t="s">
        <v>2519</v>
      </c>
      <c r="E108" s="1518" t="s">
        <v>2473</v>
      </c>
      <c r="F108" s="1519">
        <v>430476000</v>
      </c>
    </row>
    <row r="109" spans="2:8">
      <c r="B109" s="1515">
        <v>102</v>
      </c>
      <c r="C109" s="1520"/>
      <c r="D109" s="1517" t="s">
        <v>2520</v>
      </c>
      <c r="E109" s="1518" t="s">
        <v>2473</v>
      </c>
      <c r="F109" s="1519">
        <v>357147000</v>
      </c>
    </row>
    <row r="110" spans="2:8">
      <c r="B110" s="1515">
        <v>103</v>
      </c>
      <c r="C110" s="1520"/>
      <c r="D110" s="1517" t="s">
        <v>2521</v>
      </c>
      <c r="E110" s="1518" t="s">
        <v>2473</v>
      </c>
      <c r="F110" s="1519">
        <v>303498000</v>
      </c>
    </row>
    <row r="111" spans="2:8">
      <c r="B111" s="1515">
        <v>104</v>
      </c>
      <c r="C111" s="1520"/>
      <c r="D111" s="1517" t="s">
        <v>2522</v>
      </c>
      <c r="E111" s="1518" t="s">
        <v>2473</v>
      </c>
      <c r="F111" s="1519">
        <v>584862000</v>
      </c>
    </row>
    <row r="112" spans="2:8">
      <c r="B112" s="1515">
        <v>105</v>
      </c>
      <c r="C112" s="1520"/>
      <c r="D112" s="1517" t="s">
        <v>2523</v>
      </c>
      <c r="E112" s="1518" t="s">
        <v>2473</v>
      </c>
      <c r="F112" s="1519">
        <v>600000000</v>
      </c>
    </row>
    <row r="113" spans="2:8">
      <c r="B113" s="1515">
        <v>106</v>
      </c>
      <c r="C113" s="1520"/>
      <c r="D113" s="1517" t="s">
        <v>2524</v>
      </c>
      <c r="E113" s="1518" t="s">
        <v>2473</v>
      </c>
      <c r="F113" s="1519">
        <v>298791000</v>
      </c>
    </row>
    <row r="114" spans="2:8">
      <c r="B114" s="1515">
        <v>107</v>
      </c>
      <c r="C114" s="1520"/>
      <c r="D114" s="1517" t="s">
        <v>2525</v>
      </c>
      <c r="E114" s="1518" t="s">
        <v>2473</v>
      </c>
      <c r="F114" s="1519">
        <v>1073936000</v>
      </c>
    </row>
    <row r="115" spans="2:8">
      <c r="B115" s="1515">
        <v>108</v>
      </c>
      <c r="C115" s="1520"/>
      <c r="D115" s="1517" t="s">
        <v>2526</v>
      </c>
      <c r="E115" s="1518" t="s">
        <v>2485</v>
      </c>
      <c r="F115" s="1519">
        <v>64000000</v>
      </c>
    </row>
    <row r="116" spans="2:8">
      <c r="B116" s="1515">
        <v>109</v>
      </c>
      <c r="C116" s="1520"/>
      <c r="D116" s="1517" t="s">
        <v>2527</v>
      </c>
      <c r="E116" s="1518" t="s">
        <v>2473</v>
      </c>
      <c r="F116" s="1519">
        <v>702000000</v>
      </c>
    </row>
    <row r="117" spans="2:8">
      <c r="B117" s="1515">
        <v>110</v>
      </c>
      <c r="C117" s="1520"/>
      <c r="D117" s="1517" t="s">
        <v>2528</v>
      </c>
      <c r="E117" s="1518" t="s">
        <v>2473</v>
      </c>
      <c r="F117" s="1519">
        <v>463415000</v>
      </c>
    </row>
    <row r="118" spans="2:8">
      <c r="B118" s="1515">
        <v>111</v>
      </c>
      <c r="C118" s="1520"/>
      <c r="D118" s="1517" t="s">
        <v>2529</v>
      </c>
      <c r="E118" s="1518" t="s">
        <v>2485</v>
      </c>
      <c r="F118" s="1519">
        <v>203400000</v>
      </c>
    </row>
    <row r="119" spans="2:8" ht="22.5">
      <c r="B119" s="1515">
        <v>112</v>
      </c>
      <c r="C119" s="1520"/>
      <c r="D119" s="1517" t="s">
        <v>2530</v>
      </c>
      <c r="E119" s="1518" t="s">
        <v>2531</v>
      </c>
      <c r="F119" s="1519">
        <v>203230000</v>
      </c>
      <c r="H119" s="1522">
        <f>SUM(F104:F119)</f>
        <v>6492641000</v>
      </c>
    </row>
    <row r="120" spans="2:8">
      <c r="B120" s="1515">
        <v>113</v>
      </c>
      <c r="C120" s="1516">
        <v>43465</v>
      </c>
      <c r="D120" s="1517" t="s">
        <v>2532</v>
      </c>
      <c r="E120" s="1518" t="s">
        <v>2533</v>
      </c>
      <c r="F120" s="1523">
        <v>392431000</v>
      </c>
    </row>
    <row r="121" spans="2:8" ht="22.5">
      <c r="B121" s="1515">
        <v>114</v>
      </c>
      <c r="C121" s="1520"/>
      <c r="D121" s="1517" t="s">
        <v>2534</v>
      </c>
      <c r="E121" s="1518" t="s">
        <v>2485</v>
      </c>
      <c r="F121" s="1523">
        <v>71700000</v>
      </c>
    </row>
    <row r="122" spans="2:8" ht="22.5">
      <c r="B122" s="1515">
        <v>115</v>
      </c>
      <c r="C122" s="1520"/>
      <c r="D122" s="1517" t="s">
        <v>2535</v>
      </c>
      <c r="E122" s="1518" t="s">
        <v>2473</v>
      </c>
      <c r="F122" s="1524">
        <v>-12133500</v>
      </c>
    </row>
    <row r="123" spans="2:8">
      <c r="B123" s="1515">
        <v>116</v>
      </c>
      <c r="C123" s="1520"/>
      <c r="D123" s="1517" t="s">
        <v>2536</v>
      </c>
      <c r="E123" s="1518" t="s">
        <v>2537</v>
      </c>
      <c r="F123" s="1523">
        <v>203400000</v>
      </c>
    </row>
    <row r="124" spans="2:8">
      <c r="B124" s="1515">
        <v>117</v>
      </c>
      <c r="C124" s="1520"/>
      <c r="D124" s="1517" t="s">
        <v>2538</v>
      </c>
      <c r="E124" s="1518" t="s">
        <v>2485</v>
      </c>
      <c r="F124" s="1523">
        <v>203400000</v>
      </c>
    </row>
    <row r="125" spans="2:8">
      <c r="B125" s="1515">
        <v>118</v>
      </c>
      <c r="C125" s="1520"/>
      <c r="D125" s="1517" t="s">
        <v>2539</v>
      </c>
      <c r="E125" s="1518" t="s">
        <v>2540</v>
      </c>
      <c r="F125" s="1523">
        <v>74950000</v>
      </c>
    </row>
    <row r="126" spans="2:8" ht="12" thickBot="1">
      <c r="B126" s="1927">
        <v>119</v>
      </c>
      <c r="C126" s="1931"/>
      <c r="D126" s="1934" t="s">
        <v>2541</v>
      </c>
      <c r="E126" s="1929" t="s">
        <v>2473</v>
      </c>
      <c r="F126" s="1932">
        <v>175000000</v>
      </c>
    </row>
    <row r="127" spans="2:8">
      <c r="B127" s="1515">
        <v>120</v>
      </c>
      <c r="C127" s="1520"/>
      <c r="D127" s="1517" t="s">
        <v>2542</v>
      </c>
      <c r="E127" s="1518" t="s">
        <v>2473</v>
      </c>
      <c r="F127" s="1523">
        <v>164038000</v>
      </c>
    </row>
    <row r="128" spans="2:8">
      <c r="B128" s="1515">
        <v>121</v>
      </c>
      <c r="C128" s="1520"/>
      <c r="D128" s="1520"/>
      <c r="E128" s="1518" t="s">
        <v>2499</v>
      </c>
      <c r="F128" s="1523">
        <v>64000000</v>
      </c>
    </row>
    <row r="129" spans="2:8">
      <c r="B129" s="1515">
        <v>122</v>
      </c>
      <c r="C129" s="1520"/>
      <c r="D129" s="1517" t="s">
        <v>2543</v>
      </c>
      <c r="E129" s="1518" t="s">
        <v>2544</v>
      </c>
      <c r="F129" s="1523">
        <v>255354</v>
      </c>
    </row>
    <row r="130" spans="2:8" ht="22.5">
      <c r="B130" s="1515">
        <v>123</v>
      </c>
      <c r="C130" s="1520"/>
      <c r="D130" s="1517" t="s">
        <v>2545</v>
      </c>
      <c r="E130" s="1518" t="s">
        <v>2485</v>
      </c>
      <c r="F130" s="1523">
        <v>203400000</v>
      </c>
    </row>
    <row r="131" spans="2:8" ht="22.5">
      <c r="B131" s="1515"/>
      <c r="C131" s="1520"/>
      <c r="D131" s="1517" t="s">
        <v>2546</v>
      </c>
      <c r="E131" s="1518" t="s">
        <v>2547</v>
      </c>
      <c r="F131" s="1523">
        <v>550231250</v>
      </c>
    </row>
    <row r="132" spans="2:8">
      <c r="B132" s="1515">
        <v>124</v>
      </c>
      <c r="C132" s="1520"/>
      <c r="D132" s="1517" t="s">
        <v>2548</v>
      </c>
      <c r="E132" s="1518" t="s">
        <v>2473</v>
      </c>
      <c r="F132" s="1523">
        <v>75000000</v>
      </c>
    </row>
    <row r="133" spans="2:8">
      <c r="B133" s="1515">
        <v>125</v>
      </c>
      <c r="C133" s="1520"/>
      <c r="D133" s="1517" t="s">
        <v>2549</v>
      </c>
      <c r="E133" s="1518" t="s">
        <v>2473</v>
      </c>
      <c r="F133" s="1523">
        <v>2843500</v>
      </c>
    </row>
    <row r="134" spans="2:8" ht="22.5">
      <c r="B134" s="1515">
        <v>126</v>
      </c>
      <c r="C134" s="1520"/>
      <c r="D134" s="1517" t="s">
        <v>2550</v>
      </c>
      <c r="E134" s="1518" t="s">
        <v>2473</v>
      </c>
      <c r="F134" s="1524">
        <v>-6707651</v>
      </c>
      <c r="H134" s="1522">
        <f>SUM(F120:F134)</f>
        <v>2161807953</v>
      </c>
    </row>
    <row r="135" spans="2:8">
      <c r="B135" s="1515">
        <v>127</v>
      </c>
      <c r="C135" s="1516">
        <v>43465</v>
      </c>
      <c r="D135" s="1517" t="s">
        <v>2551</v>
      </c>
      <c r="E135" s="1518" t="s">
        <v>2473</v>
      </c>
      <c r="F135" s="1525">
        <v>77000000</v>
      </c>
    </row>
    <row r="136" spans="2:8">
      <c r="B136" s="1515">
        <v>128</v>
      </c>
      <c r="C136" s="1520"/>
      <c r="D136" s="1517" t="s">
        <v>2552</v>
      </c>
      <c r="E136" s="1518" t="s">
        <v>2473</v>
      </c>
      <c r="F136" s="1525">
        <v>1004582000</v>
      </c>
    </row>
    <row r="137" spans="2:8">
      <c r="B137" s="1515">
        <v>129</v>
      </c>
      <c r="C137" s="1520"/>
      <c r="D137" s="1517" t="s">
        <v>2553</v>
      </c>
      <c r="E137" s="1518" t="s">
        <v>2554</v>
      </c>
      <c r="F137" s="1525">
        <v>64000000</v>
      </c>
    </row>
    <row r="138" spans="2:8">
      <c r="B138" s="1515">
        <v>130</v>
      </c>
      <c r="C138" s="1520"/>
      <c r="D138" s="1520"/>
      <c r="E138" s="1518" t="s">
        <v>2555</v>
      </c>
      <c r="F138" s="1525">
        <v>606996000</v>
      </c>
    </row>
    <row r="139" spans="2:8">
      <c r="B139" s="1515">
        <v>131</v>
      </c>
      <c r="C139" s="1520"/>
      <c r="D139" s="1517" t="s">
        <v>2556</v>
      </c>
      <c r="E139" s="1518" t="s">
        <v>2473</v>
      </c>
      <c r="F139" s="1525">
        <v>588936000</v>
      </c>
    </row>
    <row r="140" spans="2:8">
      <c r="B140" s="1515">
        <v>132</v>
      </c>
      <c r="C140" s="1520"/>
      <c r="D140" s="1518" t="s">
        <v>2557</v>
      </c>
      <c r="E140" s="1518" t="s">
        <v>2428</v>
      </c>
      <c r="F140" s="1525">
        <v>112805000</v>
      </c>
    </row>
    <row r="141" spans="2:8">
      <c r="B141" s="1515">
        <v>133</v>
      </c>
      <c r="C141" s="1520"/>
      <c r="D141" s="1520"/>
      <c r="E141" s="1518" t="s">
        <v>2407</v>
      </c>
      <c r="F141" s="1525">
        <v>34750000</v>
      </c>
    </row>
    <row r="142" spans="2:8">
      <c r="B142" s="1515">
        <v>134</v>
      </c>
      <c r="C142" s="1520"/>
      <c r="D142" s="1520"/>
      <c r="E142" s="1518" t="s">
        <v>1940</v>
      </c>
      <c r="F142" s="1525">
        <v>57850000</v>
      </c>
    </row>
    <row r="143" spans="2:8">
      <c r="B143" s="1515">
        <v>135</v>
      </c>
      <c r="C143" s="1520"/>
      <c r="D143" s="1517" t="s">
        <v>2558</v>
      </c>
      <c r="E143" s="1518" t="s">
        <v>2506</v>
      </c>
      <c r="F143" s="1525">
        <v>203400000</v>
      </c>
    </row>
    <row r="144" spans="2:8" ht="22.5">
      <c r="B144" s="1515">
        <v>136</v>
      </c>
      <c r="C144" s="1520"/>
      <c r="D144" s="1517" t="s">
        <v>2559</v>
      </c>
      <c r="E144" s="1518" t="s">
        <v>2473</v>
      </c>
      <c r="F144" s="1525">
        <v>155000000</v>
      </c>
    </row>
    <row r="145" spans="2:6">
      <c r="B145" s="1515">
        <v>137</v>
      </c>
      <c r="C145" s="1520"/>
      <c r="D145" s="1517" t="s">
        <v>2560</v>
      </c>
      <c r="E145" s="1518" t="s">
        <v>2473</v>
      </c>
      <c r="F145" s="1525">
        <v>557642000</v>
      </c>
    </row>
    <row r="146" spans="2:6">
      <c r="B146" s="1515">
        <v>138</v>
      </c>
      <c r="C146" s="1520"/>
      <c r="D146" s="1520"/>
      <c r="E146" s="1518" t="s">
        <v>2540</v>
      </c>
      <c r="F146" s="1525">
        <v>64000000</v>
      </c>
    </row>
    <row r="147" spans="2:6">
      <c r="B147" s="1515">
        <v>139</v>
      </c>
      <c r="C147" s="1520"/>
      <c r="D147" s="1517" t="s">
        <v>2561</v>
      </c>
      <c r="E147" s="1518" t="s">
        <v>2473</v>
      </c>
      <c r="F147" s="1525">
        <v>217715000</v>
      </c>
    </row>
    <row r="148" spans="2:6">
      <c r="B148" s="1515">
        <v>140</v>
      </c>
      <c r="C148" s="1520"/>
      <c r="D148" s="1517" t="s">
        <v>2562</v>
      </c>
      <c r="E148" s="1518" t="s">
        <v>2473</v>
      </c>
      <c r="F148" s="1525">
        <v>553498000</v>
      </c>
    </row>
    <row r="149" spans="2:6">
      <c r="B149" s="1515">
        <v>141</v>
      </c>
      <c r="C149" s="1520"/>
      <c r="D149" s="1517" t="s">
        <v>2563</v>
      </c>
      <c r="E149" s="1518" t="s">
        <v>2473</v>
      </c>
      <c r="F149" s="1525">
        <v>56000000</v>
      </c>
    </row>
    <row r="150" spans="2:6">
      <c r="B150" s="1515">
        <v>142</v>
      </c>
      <c r="C150" s="1520"/>
      <c r="D150" s="1517" t="s">
        <v>2564</v>
      </c>
      <c r="E150" s="1518" t="s">
        <v>2506</v>
      </c>
      <c r="F150" s="1525">
        <v>64000000</v>
      </c>
    </row>
    <row r="151" spans="2:6">
      <c r="B151" s="1515">
        <v>143</v>
      </c>
      <c r="C151" s="1520"/>
      <c r="D151" s="1517" t="s">
        <v>2565</v>
      </c>
      <c r="E151" s="1518" t="s">
        <v>2473</v>
      </c>
      <c r="F151" s="1525">
        <v>539072</v>
      </c>
    </row>
    <row r="152" spans="2:6" ht="33.75">
      <c r="B152" s="1515"/>
      <c r="C152" s="1520"/>
      <c r="D152" s="1517" t="s">
        <v>2566</v>
      </c>
      <c r="E152" s="1518" t="s">
        <v>2567</v>
      </c>
      <c r="F152" s="1525">
        <v>-19477077744.919998</v>
      </c>
    </row>
    <row r="153" spans="2:6">
      <c r="B153" s="1515">
        <v>144</v>
      </c>
      <c r="C153" s="1520"/>
      <c r="D153" s="1517" t="s">
        <v>2568</v>
      </c>
      <c r="E153" s="1518" t="s">
        <v>2407</v>
      </c>
      <c r="F153" s="1525">
        <v>19950000</v>
      </c>
    </row>
    <row r="154" spans="2:6">
      <c r="B154" s="1515">
        <v>145</v>
      </c>
      <c r="C154" s="1520"/>
      <c r="D154" s="1517" t="s">
        <v>2569</v>
      </c>
      <c r="E154" s="1518" t="s">
        <v>2570</v>
      </c>
      <c r="F154" s="1525">
        <v>1360320000</v>
      </c>
    </row>
    <row r="155" spans="2:6">
      <c r="B155" s="1515">
        <v>146</v>
      </c>
      <c r="C155" s="1520"/>
      <c r="D155" s="1517" t="s">
        <v>2571</v>
      </c>
      <c r="E155" s="1518" t="s">
        <v>2393</v>
      </c>
      <c r="F155" s="1526">
        <v>-6208279023.5600004</v>
      </c>
    </row>
    <row r="156" spans="2:6">
      <c r="B156" s="1515">
        <v>147</v>
      </c>
      <c r="C156" s="1516">
        <v>43465</v>
      </c>
      <c r="D156" s="1517" t="s">
        <v>2572</v>
      </c>
      <c r="E156" s="1518" t="s">
        <v>2473</v>
      </c>
      <c r="F156" s="1525">
        <v>25826200</v>
      </c>
    </row>
    <row r="157" spans="2:6">
      <c r="B157" s="1515">
        <v>148</v>
      </c>
      <c r="C157" s="1520"/>
      <c r="D157" s="1517" t="s">
        <v>2573</v>
      </c>
      <c r="E157" s="1518" t="s">
        <v>2393</v>
      </c>
      <c r="F157" s="1525">
        <v>20676925334.920002</v>
      </c>
    </row>
    <row r="158" spans="2:6">
      <c r="B158" s="1515">
        <v>149</v>
      </c>
      <c r="C158" s="1520"/>
      <c r="D158" s="1518" t="s">
        <v>2574</v>
      </c>
      <c r="E158" s="1518" t="s">
        <v>2575</v>
      </c>
      <c r="F158" s="1525">
        <v>4849000</v>
      </c>
    </row>
    <row r="159" spans="2:6">
      <c r="B159" s="1515">
        <v>150</v>
      </c>
      <c r="C159" s="1520"/>
      <c r="D159" s="1517" t="s">
        <v>2576</v>
      </c>
      <c r="E159" s="1518" t="s">
        <v>2428</v>
      </c>
      <c r="F159" s="1525">
        <v>1453654750</v>
      </c>
    </row>
    <row r="160" spans="2:6">
      <c r="B160" s="1515">
        <v>151</v>
      </c>
      <c r="C160" s="1520"/>
      <c r="D160" s="1520"/>
      <c r="E160" s="1518" t="s">
        <v>2577</v>
      </c>
      <c r="F160" s="1525">
        <v>196268750</v>
      </c>
    </row>
    <row r="161" spans="2:8">
      <c r="B161" s="1515">
        <v>152</v>
      </c>
      <c r="C161" s="1520"/>
      <c r="D161" s="1520"/>
      <c r="E161" s="1518" t="s">
        <v>2407</v>
      </c>
      <c r="F161" s="1525">
        <v>164278850</v>
      </c>
    </row>
    <row r="162" spans="2:8">
      <c r="B162" s="1515">
        <v>153</v>
      </c>
      <c r="C162" s="1520"/>
      <c r="D162" s="1520"/>
      <c r="E162" s="1518" t="s">
        <v>2578</v>
      </c>
      <c r="F162" s="1525">
        <v>48046800</v>
      </c>
    </row>
    <row r="163" spans="2:8">
      <c r="B163" s="1515">
        <v>154</v>
      </c>
      <c r="C163" s="1520"/>
      <c r="D163" s="1520"/>
      <c r="E163" s="1518" t="s">
        <v>2035</v>
      </c>
      <c r="F163" s="1525">
        <v>2611004000</v>
      </c>
    </row>
    <row r="164" spans="2:8">
      <c r="B164" s="1515">
        <v>155</v>
      </c>
      <c r="C164" s="1520"/>
      <c r="D164" s="1517" t="s">
        <v>2579</v>
      </c>
      <c r="E164" s="1518" t="s">
        <v>2580</v>
      </c>
      <c r="F164" s="1525">
        <v>323100000</v>
      </c>
    </row>
    <row r="165" spans="2:8">
      <c r="B165" s="1515">
        <v>156</v>
      </c>
      <c r="C165" s="1520"/>
      <c r="D165" s="1517" t="s">
        <v>2581</v>
      </c>
      <c r="E165" s="1518" t="s">
        <v>1729</v>
      </c>
      <c r="F165" s="1525">
        <v>137245000</v>
      </c>
    </row>
    <row r="166" spans="2:8">
      <c r="B166" s="2197" t="s">
        <v>1613</v>
      </c>
      <c r="C166" s="2198"/>
      <c r="D166" s="2199"/>
      <c r="E166" s="1527"/>
      <c r="F166" s="1528">
        <f>SUM(F8:F165)</f>
        <v>39826640758</v>
      </c>
      <c r="H166" s="1522">
        <v>39826640758</v>
      </c>
    </row>
    <row r="167" spans="2:8">
      <c r="B167" s="1515"/>
      <c r="C167" s="1520"/>
      <c r="D167" s="1517"/>
      <c r="E167" s="1518"/>
      <c r="F167" s="1525"/>
      <c r="H167" s="1522">
        <f>F166-H166</f>
        <v>0</v>
      </c>
    </row>
    <row r="168" spans="2:8" ht="22.5">
      <c r="B168" s="1515"/>
      <c r="C168" s="1520"/>
      <c r="D168" s="1529" t="s">
        <v>2582</v>
      </c>
      <c r="E168" s="1518"/>
      <c r="F168" s="1525"/>
    </row>
    <row r="169" spans="2:8">
      <c r="B169" s="1515">
        <v>1</v>
      </c>
      <c r="C169" s="1516">
        <v>43465</v>
      </c>
      <c r="D169" s="1517" t="s">
        <v>2583</v>
      </c>
      <c r="E169" s="1518" t="s">
        <v>2473</v>
      </c>
      <c r="F169" s="1525">
        <v>276678</v>
      </c>
    </row>
    <row r="170" spans="2:8">
      <c r="B170" s="1515">
        <v>2</v>
      </c>
      <c r="C170" s="1520"/>
      <c r="D170" s="1517" t="s">
        <v>2584</v>
      </c>
      <c r="E170" s="1518" t="s">
        <v>2473</v>
      </c>
      <c r="F170" s="1525">
        <v>261993</v>
      </c>
    </row>
    <row r="171" spans="2:8">
      <c r="B171" s="1515">
        <v>3</v>
      </c>
      <c r="C171" s="1520"/>
      <c r="D171" s="1517" t="s">
        <v>2585</v>
      </c>
      <c r="E171" s="1518" t="s">
        <v>2473</v>
      </c>
      <c r="F171" s="1525">
        <v>528018</v>
      </c>
    </row>
    <row r="172" spans="2:8" ht="22.5">
      <c r="B172" s="1515">
        <v>4</v>
      </c>
      <c r="C172" s="1520"/>
      <c r="D172" s="1517" t="s">
        <v>2586</v>
      </c>
      <c r="E172" s="1518" t="s">
        <v>2473</v>
      </c>
      <c r="F172" s="1525">
        <v>32677</v>
      </c>
    </row>
    <row r="173" spans="2:8" ht="22.5">
      <c r="B173" s="1515">
        <v>5</v>
      </c>
      <c r="C173" s="1520"/>
      <c r="D173" s="1517" t="s">
        <v>2587</v>
      </c>
      <c r="E173" s="1518" t="s">
        <v>2473</v>
      </c>
      <c r="F173" s="1525">
        <v>1628181</v>
      </c>
    </row>
    <row r="174" spans="2:8">
      <c r="B174" s="1515">
        <v>6</v>
      </c>
      <c r="C174" s="1520"/>
      <c r="D174" s="1518" t="s">
        <v>2588</v>
      </c>
      <c r="E174" s="1518" t="s">
        <v>2473</v>
      </c>
      <c r="F174" s="1525">
        <v>16533</v>
      </c>
    </row>
    <row r="175" spans="2:8">
      <c r="B175" s="1515">
        <v>7</v>
      </c>
      <c r="C175" s="1520"/>
      <c r="D175" s="1517" t="s">
        <v>2589</v>
      </c>
      <c r="E175" s="1518" t="s">
        <v>2473</v>
      </c>
      <c r="F175" s="1525">
        <v>124483</v>
      </c>
    </row>
    <row r="176" spans="2:8">
      <c r="B176" s="1515">
        <v>8</v>
      </c>
      <c r="C176" s="1520"/>
      <c r="D176" s="1517" t="s">
        <v>2590</v>
      </c>
      <c r="E176" s="1518" t="s">
        <v>2473</v>
      </c>
      <c r="F176" s="1525">
        <v>205626</v>
      </c>
    </row>
    <row r="177" spans="2:8">
      <c r="B177" s="1515">
        <v>9</v>
      </c>
      <c r="C177" s="1520"/>
      <c r="D177" s="1517" t="s">
        <v>2591</v>
      </c>
      <c r="E177" s="1518" t="s">
        <v>2473</v>
      </c>
      <c r="F177" s="1525">
        <v>209898</v>
      </c>
    </row>
    <row r="178" spans="2:8">
      <c r="B178" s="1515">
        <v>10</v>
      </c>
      <c r="C178" s="1520"/>
      <c r="D178" s="1517" t="s">
        <v>2592</v>
      </c>
      <c r="E178" s="1518" t="s">
        <v>2473</v>
      </c>
      <c r="F178" s="1525">
        <v>628429</v>
      </c>
    </row>
    <row r="179" spans="2:8">
      <c r="B179" s="1515">
        <v>11</v>
      </c>
      <c r="C179" s="1520"/>
      <c r="D179" s="1517" t="s">
        <v>2593</v>
      </c>
      <c r="E179" s="1518" t="s">
        <v>2473</v>
      </c>
      <c r="F179" s="1525">
        <v>8576</v>
      </c>
    </row>
    <row r="180" spans="2:8">
      <c r="B180" s="1515">
        <v>12</v>
      </c>
      <c r="C180" s="1520"/>
      <c r="D180" s="1517" t="s">
        <v>2594</v>
      </c>
      <c r="E180" s="1518" t="s">
        <v>2473</v>
      </c>
      <c r="F180" s="1525">
        <v>406909</v>
      </c>
    </row>
    <row r="181" spans="2:8" s="1532" customFormat="1">
      <c r="B181" s="2197" t="s">
        <v>1613</v>
      </c>
      <c r="C181" s="2198"/>
      <c r="D181" s="2199"/>
      <c r="E181" s="1530"/>
      <c r="F181" s="1531">
        <f>SUM(F169:F180)</f>
        <v>4328001</v>
      </c>
      <c r="H181" s="1533"/>
    </row>
    <row r="182" spans="2:8">
      <c r="B182" s="1515"/>
      <c r="C182" s="1520"/>
      <c r="D182" s="1517"/>
      <c r="E182" s="1518"/>
      <c r="F182" s="1525"/>
    </row>
    <row r="183" spans="2:8" ht="22.5">
      <c r="B183" s="1515"/>
      <c r="C183" s="1520"/>
      <c r="D183" s="1529" t="s">
        <v>2595</v>
      </c>
      <c r="E183" s="1518"/>
      <c r="F183" s="1525"/>
    </row>
    <row r="184" spans="2:8" ht="12" thickBot="1">
      <c r="B184" s="1927">
        <v>1</v>
      </c>
      <c r="C184" s="1928">
        <v>43281</v>
      </c>
      <c r="D184" s="1929" t="s">
        <v>2596</v>
      </c>
      <c r="E184" s="1929" t="s">
        <v>2580</v>
      </c>
      <c r="F184" s="1933">
        <v>997859388</v>
      </c>
    </row>
    <row r="185" spans="2:8" ht="26.25" customHeight="1">
      <c r="B185" s="1515">
        <v>2</v>
      </c>
      <c r="C185" s="1520"/>
      <c r="D185" s="1518" t="s">
        <v>2597</v>
      </c>
      <c r="E185" s="1517" t="s">
        <v>2174</v>
      </c>
      <c r="F185" s="1525">
        <v>980000</v>
      </c>
    </row>
    <row r="186" spans="2:8">
      <c r="B186" s="1515">
        <v>3</v>
      </c>
      <c r="C186" s="1520"/>
      <c r="D186" s="1518" t="s">
        <v>2598</v>
      </c>
      <c r="E186" s="1518" t="s">
        <v>2599</v>
      </c>
      <c r="F186" s="1525">
        <v>150268750</v>
      </c>
    </row>
    <row r="187" spans="2:8">
      <c r="B187" s="1515">
        <v>4</v>
      </c>
      <c r="C187" s="1520"/>
      <c r="D187" s="1518" t="s">
        <v>2600</v>
      </c>
      <c r="E187" s="1518" t="s">
        <v>2407</v>
      </c>
      <c r="F187" s="1525">
        <v>222170000</v>
      </c>
    </row>
    <row r="188" spans="2:8">
      <c r="B188" s="1515">
        <v>5</v>
      </c>
      <c r="C188" s="1520"/>
      <c r="D188" s="1518" t="s">
        <v>2601</v>
      </c>
      <c r="E188" s="1518" t="s">
        <v>2602</v>
      </c>
      <c r="F188" s="1525">
        <v>38443125</v>
      </c>
    </row>
    <row r="189" spans="2:8">
      <c r="B189" s="1515">
        <v>6</v>
      </c>
      <c r="C189" s="1520"/>
      <c r="D189" s="1518" t="s">
        <v>2603</v>
      </c>
      <c r="E189" s="1518" t="s">
        <v>2035</v>
      </c>
      <c r="F189" s="1525">
        <v>757187000</v>
      </c>
    </row>
    <row r="190" spans="2:8" ht="33.75">
      <c r="B190" s="1515">
        <v>7</v>
      </c>
      <c r="C190" s="1516">
        <v>43465</v>
      </c>
      <c r="D190" s="1518" t="s">
        <v>2604</v>
      </c>
      <c r="E190" s="1518" t="s">
        <v>2605</v>
      </c>
      <c r="F190" s="1525">
        <v>1368575105</v>
      </c>
    </row>
    <row r="191" spans="2:8">
      <c r="B191" s="1515">
        <v>8</v>
      </c>
      <c r="C191" s="1516"/>
      <c r="D191" s="1518" t="s">
        <v>2606</v>
      </c>
      <c r="E191" s="1518" t="s">
        <v>2607</v>
      </c>
      <c r="F191" s="1525">
        <v>409104000</v>
      </c>
    </row>
    <row r="192" spans="2:8">
      <c r="B192" s="1515">
        <v>9</v>
      </c>
      <c r="C192" s="1520"/>
      <c r="D192" s="1518" t="s">
        <v>2608</v>
      </c>
      <c r="E192" s="1518" t="s">
        <v>2609</v>
      </c>
      <c r="F192" s="1525">
        <v>214188000</v>
      </c>
    </row>
    <row r="193" spans="2:6">
      <c r="B193" s="1515">
        <v>10</v>
      </c>
      <c r="C193" s="1520"/>
      <c r="D193" s="1518" t="s">
        <v>2610</v>
      </c>
      <c r="E193" s="1518" t="s">
        <v>2406</v>
      </c>
      <c r="F193" s="1525">
        <v>13420000</v>
      </c>
    </row>
    <row r="194" spans="2:6">
      <c r="B194" s="1515">
        <v>11</v>
      </c>
      <c r="C194" s="1520"/>
      <c r="D194" s="1518" t="s">
        <v>2611</v>
      </c>
      <c r="E194" s="1518" t="s">
        <v>2406</v>
      </c>
      <c r="F194" s="1525">
        <v>1100000</v>
      </c>
    </row>
    <row r="195" spans="2:6">
      <c r="B195" s="1515">
        <v>12</v>
      </c>
      <c r="C195" s="1520"/>
      <c r="D195" s="1518" t="s">
        <v>2612</v>
      </c>
      <c r="E195" s="1518" t="s">
        <v>2613</v>
      </c>
      <c r="F195" s="1525">
        <v>8995000</v>
      </c>
    </row>
    <row r="196" spans="2:6">
      <c r="B196" s="1515">
        <v>13</v>
      </c>
      <c r="C196" s="1520"/>
      <c r="D196" s="1518" t="s">
        <v>2614</v>
      </c>
      <c r="E196" s="1518" t="s">
        <v>2444</v>
      </c>
      <c r="F196" s="1525">
        <v>3526500</v>
      </c>
    </row>
    <row r="197" spans="2:6">
      <c r="B197" s="1515">
        <v>14</v>
      </c>
      <c r="C197" s="1520"/>
      <c r="D197" s="1518" t="s">
        <v>2615</v>
      </c>
      <c r="E197" s="1518" t="s">
        <v>2444</v>
      </c>
      <c r="F197" s="1525">
        <v>1320000</v>
      </c>
    </row>
    <row r="198" spans="2:6">
      <c r="B198" s="1515">
        <v>15</v>
      </c>
      <c r="C198" s="1520"/>
      <c r="D198" s="1518" t="s">
        <v>2616</v>
      </c>
      <c r="E198" s="1518" t="s">
        <v>2617</v>
      </c>
      <c r="F198" s="1525">
        <v>99067750</v>
      </c>
    </row>
    <row r="199" spans="2:6">
      <c r="B199" s="1515">
        <v>16</v>
      </c>
      <c r="C199" s="1520"/>
      <c r="D199" s="1518" t="s">
        <v>2618</v>
      </c>
      <c r="E199" s="1518" t="s">
        <v>2619</v>
      </c>
      <c r="F199" s="1525">
        <v>71950000</v>
      </c>
    </row>
    <row r="200" spans="2:6" ht="22.5">
      <c r="B200" s="1515">
        <v>17</v>
      </c>
      <c r="C200" s="1520"/>
      <c r="D200" s="1518" t="s">
        <v>2620</v>
      </c>
      <c r="E200" s="1518" t="s">
        <v>2621</v>
      </c>
      <c r="F200" s="1525">
        <v>37080000</v>
      </c>
    </row>
    <row r="201" spans="2:6">
      <c r="B201" s="1515">
        <v>18</v>
      </c>
      <c r="C201" s="1520"/>
      <c r="D201" s="1518" t="s">
        <v>2622</v>
      </c>
      <c r="E201" s="1518" t="s">
        <v>2623</v>
      </c>
      <c r="F201" s="1525">
        <v>59500000</v>
      </c>
    </row>
    <row r="202" spans="2:6" ht="22.5">
      <c r="B202" s="1515">
        <v>19</v>
      </c>
      <c r="C202" s="1520"/>
      <c r="D202" s="1518" t="s">
        <v>2624</v>
      </c>
      <c r="E202" s="1518" t="s">
        <v>2625</v>
      </c>
      <c r="F202" s="1525">
        <v>396906000</v>
      </c>
    </row>
    <row r="203" spans="2:6">
      <c r="B203" s="1515">
        <v>20</v>
      </c>
      <c r="C203" s="1520"/>
      <c r="D203" s="1518" t="s">
        <v>2626</v>
      </c>
      <c r="E203" s="1518" t="s">
        <v>2623</v>
      </c>
      <c r="F203" s="1525">
        <v>66147817</v>
      </c>
    </row>
    <row r="204" spans="2:6">
      <c r="B204" s="1515">
        <v>21</v>
      </c>
      <c r="C204" s="1520"/>
      <c r="D204" s="1518" t="s">
        <v>2627</v>
      </c>
      <c r="E204" s="1518" t="s">
        <v>2628</v>
      </c>
      <c r="F204" s="1525">
        <v>199520000</v>
      </c>
    </row>
    <row r="205" spans="2:6">
      <c r="B205" s="1515">
        <v>22</v>
      </c>
      <c r="C205" s="1520"/>
      <c r="D205" s="1518" t="s">
        <v>2629</v>
      </c>
      <c r="E205" s="1518" t="s">
        <v>2630</v>
      </c>
      <c r="F205" s="1525">
        <v>99800000</v>
      </c>
    </row>
    <row r="206" spans="2:6">
      <c r="B206" s="1515">
        <v>23</v>
      </c>
      <c r="C206" s="1520"/>
      <c r="D206" s="1518" t="s">
        <v>2631</v>
      </c>
      <c r="E206" s="1518" t="s">
        <v>2628</v>
      </c>
      <c r="F206" s="1525">
        <v>199800000</v>
      </c>
    </row>
    <row r="207" spans="2:6">
      <c r="B207" s="1515">
        <v>24</v>
      </c>
      <c r="C207" s="1520"/>
      <c r="D207" s="1518" t="s">
        <v>2632</v>
      </c>
      <c r="E207" s="1518" t="s">
        <v>2633</v>
      </c>
      <c r="F207" s="1525">
        <v>59660000</v>
      </c>
    </row>
    <row r="208" spans="2:6">
      <c r="B208" s="1515">
        <v>25</v>
      </c>
      <c r="C208" s="1520"/>
      <c r="D208" s="1518" t="s">
        <v>2634</v>
      </c>
      <c r="E208" s="1518" t="s">
        <v>2633</v>
      </c>
      <c r="F208" s="1525">
        <v>3600000</v>
      </c>
    </row>
    <row r="209" spans="2:8">
      <c r="B209" s="1515">
        <v>26</v>
      </c>
      <c r="C209" s="1520"/>
      <c r="D209" s="1518" t="s">
        <v>2635</v>
      </c>
      <c r="E209" s="1518" t="s">
        <v>2633</v>
      </c>
      <c r="F209" s="1525">
        <v>9457500</v>
      </c>
    </row>
    <row r="210" spans="2:8" s="1532" customFormat="1">
      <c r="B210" s="2197" t="s">
        <v>9</v>
      </c>
      <c r="C210" s="2198"/>
      <c r="D210" s="2199"/>
      <c r="E210" s="1530"/>
      <c r="F210" s="1528">
        <f>SUM(F184:F209)</f>
        <v>5489625935</v>
      </c>
      <c r="H210" s="1533">
        <v>5489625935</v>
      </c>
    </row>
    <row r="211" spans="2:8">
      <c r="B211" s="1515"/>
      <c r="C211" s="1520"/>
      <c r="D211" s="1518"/>
      <c r="E211" s="1518"/>
      <c r="F211" s="1525"/>
      <c r="H211" s="1522">
        <f>F210-H210</f>
        <v>0</v>
      </c>
    </row>
    <row r="212" spans="2:8" ht="22.5">
      <c r="B212" s="1515"/>
      <c r="C212" s="1520"/>
      <c r="D212" s="1534" t="s">
        <v>2636</v>
      </c>
      <c r="E212" s="1518"/>
      <c r="F212" s="1525"/>
    </row>
    <row r="213" spans="2:8">
      <c r="B213" s="1515">
        <v>1</v>
      </c>
      <c r="C213" s="1516">
        <v>43281</v>
      </c>
      <c r="D213" s="1517" t="s">
        <v>2637</v>
      </c>
      <c r="E213" s="1518" t="s">
        <v>2405</v>
      </c>
      <c r="F213" s="1525">
        <v>203800000</v>
      </c>
    </row>
    <row r="214" spans="2:8">
      <c r="B214" s="2197" t="s">
        <v>9</v>
      </c>
      <c r="C214" s="2198"/>
      <c r="D214" s="2199"/>
      <c r="E214" s="1530"/>
      <c r="F214" s="1531">
        <f>SUM(F213)</f>
        <v>203800000</v>
      </c>
    </row>
    <row r="215" spans="2:8">
      <c r="B215" s="1515"/>
      <c r="C215" s="1516"/>
      <c r="D215" s="1517"/>
      <c r="E215" s="1518"/>
      <c r="F215" s="1525"/>
    </row>
    <row r="216" spans="2:8">
      <c r="B216" s="1515"/>
      <c r="C216" s="1516"/>
      <c r="D216" s="1517"/>
      <c r="E216" s="1518"/>
      <c r="F216" s="1525"/>
    </row>
    <row r="217" spans="2:8">
      <c r="B217" s="1515"/>
      <c r="C217" s="1516"/>
      <c r="D217" s="1529" t="s">
        <v>2638</v>
      </c>
      <c r="E217" s="1518"/>
      <c r="F217" s="1525"/>
    </row>
    <row r="218" spans="2:8" ht="22.5">
      <c r="B218" s="1515">
        <v>1</v>
      </c>
      <c r="C218" s="1516">
        <v>43465</v>
      </c>
      <c r="D218" s="1517" t="s">
        <v>2639</v>
      </c>
      <c r="E218" s="1518" t="s">
        <v>2640</v>
      </c>
      <c r="F218" s="1525">
        <v>975000000</v>
      </c>
    </row>
    <row r="219" spans="2:8" s="1532" customFormat="1">
      <c r="B219" s="2197" t="s">
        <v>9</v>
      </c>
      <c r="C219" s="2198"/>
      <c r="D219" s="2199"/>
      <c r="E219" s="1530"/>
      <c r="F219" s="1531">
        <f>SUM(F218)</f>
        <v>975000000</v>
      </c>
      <c r="H219" s="1533"/>
    </row>
    <row r="220" spans="2:8">
      <c r="B220" s="1515"/>
      <c r="C220" s="1516"/>
      <c r="D220" s="1517"/>
      <c r="E220" s="1518"/>
      <c r="F220" s="1525"/>
    </row>
    <row r="221" spans="2:8">
      <c r="B221" s="1515"/>
      <c r="C221" s="1516"/>
      <c r="D221" s="1529" t="s">
        <v>2641</v>
      </c>
      <c r="E221" s="1518"/>
      <c r="F221" s="1525"/>
    </row>
    <row r="222" spans="2:8">
      <c r="B222" s="1515">
        <v>1</v>
      </c>
      <c r="C222" s="1516">
        <v>43308</v>
      </c>
      <c r="D222" s="1517" t="s">
        <v>2642</v>
      </c>
      <c r="E222" s="1518" t="s">
        <v>2643</v>
      </c>
      <c r="F222" s="1525">
        <v>17400000</v>
      </c>
    </row>
    <row r="223" spans="2:8">
      <c r="B223" s="1515">
        <v>2</v>
      </c>
      <c r="C223" s="1516">
        <v>43465</v>
      </c>
      <c r="D223" s="1517" t="s">
        <v>2644</v>
      </c>
      <c r="E223" s="1518" t="s">
        <v>2643</v>
      </c>
      <c r="F223" s="1525">
        <v>283813800</v>
      </c>
    </row>
    <row r="224" spans="2:8">
      <c r="B224" s="1515">
        <v>3</v>
      </c>
      <c r="C224" s="1520"/>
      <c r="D224" s="1517" t="s">
        <v>2645</v>
      </c>
      <c r="E224" s="1518" t="s">
        <v>2643</v>
      </c>
      <c r="F224" s="1525">
        <v>48720000</v>
      </c>
    </row>
    <row r="225" spans="2:6">
      <c r="B225" s="1515">
        <v>4</v>
      </c>
      <c r="C225" s="1520"/>
      <c r="D225" s="1517" t="s">
        <v>2646</v>
      </c>
      <c r="E225" s="1518" t="s">
        <v>2643</v>
      </c>
      <c r="F225" s="1525">
        <v>313205600</v>
      </c>
    </row>
    <row r="226" spans="2:6">
      <c r="B226" s="1515">
        <v>5</v>
      </c>
      <c r="C226" s="1520"/>
      <c r="D226" s="1517" t="s">
        <v>2647</v>
      </c>
      <c r="E226" s="1518" t="s">
        <v>2643</v>
      </c>
      <c r="F226" s="1525">
        <v>152250000</v>
      </c>
    </row>
    <row r="227" spans="2:6">
      <c r="B227" s="1515">
        <v>6</v>
      </c>
      <c r="C227" s="1520"/>
      <c r="D227" s="1517" t="s">
        <v>2648</v>
      </c>
      <c r="E227" s="1518" t="s">
        <v>2643</v>
      </c>
      <c r="F227" s="1525">
        <v>153550000</v>
      </c>
    </row>
    <row r="228" spans="2:6">
      <c r="B228" s="1515">
        <v>7</v>
      </c>
      <c r="C228" s="1520"/>
      <c r="D228" s="1517" t="s">
        <v>2649</v>
      </c>
      <c r="E228" s="1518" t="s">
        <v>2643</v>
      </c>
      <c r="F228" s="1525">
        <v>98861000</v>
      </c>
    </row>
    <row r="229" spans="2:6">
      <c r="B229" s="1515">
        <v>8</v>
      </c>
      <c r="C229" s="1520"/>
      <c r="D229" s="1517" t="s">
        <v>2650</v>
      </c>
      <c r="E229" s="1518" t="s">
        <v>2643</v>
      </c>
      <c r="F229" s="1525">
        <v>203997000</v>
      </c>
    </row>
    <row r="230" spans="2:6">
      <c r="B230" s="1515">
        <v>9</v>
      </c>
      <c r="C230" s="1520"/>
      <c r="D230" s="1517" t="s">
        <v>2651</v>
      </c>
      <c r="E230" s="1518" t="s">
        <v>2643</v>
      </c>
      <c r="F230" s="1525">
        <v>445584450</v>
      </c>
    </row>
    <row r="231" spans="2:6">
      <c r="B231" s="1515">
        <v>10</v>
      </c>
      <c r="C231" s="1520"/>
      <c r="D231" s="1517" t="s">
        <v>2652</v>
      </c>
      <c r="E231" s="1518" t="s">
        <v>2643</v>
      </c>
      <c r="F231" s="1525">
        <v>127700000</v>
      </c>
    </row>
    <row r="232" spans="2:6">
      <c r="B232" s="1515">
        <v>11</v>
      </c>
      <c r="C232" s="1520"/>
      <c r="D232" s="1517" t="s">
        <v>2653</v>
      </c>
      <c r="E232" s="1518" t="s">
        <v>2643</v>
      </c>
      <c r="F232" s="1525">
        <v>250450000</v>
      </c>
    </row>
    <row r="233" spans="2:6">
      <c r="B233" s="1515">
        <v>12</v>
      </c>
      <c r="C233" s="1520"/>
      <c r="D233" s="1517" t="s">
        <v>2654</v>
      </c>
      <c r="E233" s="1518" t="s">
        <v>2643</v>
      </c>
      <c r="F233" s="1525">
        <v>173210000</v>
      </c>
    </row>
    <row r="234" spans="2:6">
      <c r="B234" s="1515">
        <v>13</v>
      </c>
      <c r="C234" s="1520"/>
      <c r="D234" s="1517" t="s">
        <v>2655</v>
      </c>
      <c r="E234" s="1518" t="s">
        <v>2643</v>
      </c>
      <c r="F234" s="1525">
        <v>309600000</v>
      </c>
    </row>
    <row r="235" spans="2:6">
      <c r="B235" s="1515">
        <v>14</v>
      </c>
      <c r="C235" s="1520"/>
      <c r="D235" s="1517" t="s">
        <v>2656</v>
      </c>
      <c r="E235" s="1518" t="s">
        <v>2643</v>
      </c>
      <c r="F235" s="1525">
        <v>269843000</v>
      </c>
    </row>
    <row r="236" spans="2:6">
      <c r="B236" s="1515">
        <v>15</v>
      </c>
      <c r="C236" s="1520"/>
      <c r="D236" s="1517" t="s">
        <v>2657</v>
      </c>
      <c r="E236" s="1518" t="s">
        <v>2643</v>
      </c>
      <c r="F236" s="1525">
        <v>206333000</v>
      </c>
    </row>
    <row r="237" spans="2:6" ht="12" thickBot="1">
      <c r="B237" s="1927">
        <v>16</v>
      </c>
      <c r="C237" s="1931"/>
      <c r="D237" s="1934" t="s">
        <v>2658</v>
      </c>
      <c r="E237" s="1929" t="s">
        <v>2643</v>
      </c>
      <c r="F237" s="1933">
        <v>71400000</v>
      </c>
    </row>
    <row r="238" spans="2:6">
      <c r="B238" s="1515">
        <v>17</v>
      </c>
      <c r="C238" s="1520"/>
      <c r="D238" s="1517" t="s">
        <v>2659</v>
      </c>
      <c r="E238" s="1518" t="s">
        <v>2643</v>
      </c>
      <c r="F238" s="1525">
        <v>313630000</v>
      </c>
    </row>
    <row r="239" spans="2:6">
      <c r="B239" s="1515">
        <v>18</v>
      </c>
      <c r="C239" s="1520"/>
      <c r="D239" s="1517" t="s">
        <v>2660</v>
      </c>
      <c r="E239" s="1518" t="s">
        <v>2643</v>
      </c>
      <c r="F239" s="1525">
        <v>312422000</v>
      </c>
    </row>
    <row r="240" spans="2:6">
      <c r="B240" s="1515">
        <v>19</v>
      </c>
      <c r="C240" s="1516">
        <v>43465</v>
      </c>
      <c r="D240" s="1517" t="s">
        <v>2661</v>
      </c>
      <c r="E240" s="1518" t="s">
        <v>2643</v>
      </c>
      <c r="F240" s="1525">
        <v>236886000</v>
      </c>
    </row>
    <row r="241" spans="2:6">
      <c r="B241" s="1515">
        <v>20</v>
      </c>
      <c r="C241" s="1520"/>
      <c r="D241" s="1517" t="s">
        <v>2662</v>
      </c>
      <c r="E241" s="1518" t="s">
        <v>2643</v>
      </c>
      <c r="F241" s="1525">
        <v>301600000</v>
      </c>
    </row>
    <row r="242" spans="2:6">
      <c r="B242" s="1515">
        <v>21</v>
      </c>
      <c r="C242" s="1520"/>
      <c r="D242" s="1517" t="s">
        <v>2663</v>
      </c>
      <c r="E242" s="1518" t="s">
        <v>2643</v>
      </c>
      <c r="F242" s="1525">
        <v>152350000</v>
      </c>
    </row>
    <row r="243" spans="2:6">
      <c r="B243" s="1515">
        <v>22</v>
      </c>
      <c r="C243" s="1520"/>
      <c r="D243" s="1517" t="s">
        <v>2664</v>
      </c>
      <c r="E243" s="1518" t="s">
        <v>2643</v>
      </c>
      <c r="F243" s="1525">
        <v>192260000</v>
      </c>
    </row>
    <row r="244" spans="2:6">
      <c r="B244" s="1515">
        <v>23</v>
      </c>
      <c r="C244" s="1520"/>
      <c r="D244" s="1517" t="s">
        <v>2665</v>
      </c>
      <c r="E244" s="1518" t="s">
        <v>2643</v>
      </c>
      <c r="F244" s="1525">
        <v>103680000</v>
      </c>
    </row>
    <row r="245" spans="2:6">
      <c r="B245" s="1515">
        <v>24</v>
      </c>
      <c r="C245" s="1520"/>
      <c r="D245" s="1517" t="s">
        <v>2666</v>
      </c>
      <c r="E245" s="1518" t="s">
        <v>2643</v>
      </c>
      <c r="F245" s="1525">
        <v>450340000</v>
      </c>
    </row>
    <row r="246" spans="2:6">
      <c r="B246" s="1515">
        <v>25</v>
      </c>
      <c r="C246" s="1520"/>
      <c r="D246" s="1517" t="s">
        <v>2667</v>
      </c>
      <c r="E246" s="1518" t="s">
        <v>2643</v>
      </c>
      <c r="F246" s="1525">
        <v>98500000</v>
      </c>
    </row>
    <row r="247" spans="2:6">
      <c r="B247" s="1515">
        <v>26</v>
      </c>
      <c r="C247" s="1520"/>
      <c r="D247" s="1517" t="s">
        <v>2668</v>
      </c>
      <c r="E247" s="1518" t="s">
        <v>2643</v>
      </c>
      <c r="F247" s="1525">
        <v>141100000</v>
      </c>
    </row>
    <row r="248" spans="2:6">
      <c r="B248" s="1515">
        <v>27</v>
      </c>
      <c r="C248" s="1520"/>
      <c r="D248" s="1517" t="s">
        <v>2669</v>
      </c>
      <c r="E248" s="1518" t="s">
        <v>2643</v>
      </c>
      <c r="F248" s="1525">
        <v>140760000</v>
      </c>
    </row>
    <row r="249" spans="2:6">
      <c r="B249" s="1515">
        <v>28</v>
      </c>
      <c r="C249" s="1520"/>
      <c r="D249" s="1517" t="s">
        <v>2670</v>
      </c>
      <c r="E249" s="1518" t="s">
        <v>2643</v>
      </c>
      <c r="F249" s="1525">
        <v>561763500</v>
      </c>
    </row>
    <row r="250" spans="2:6">
      <c r="B250" s="1515">
        <v>29</v>
      </c>
      <c r="C250" s="1520"/>
      <c r="D250" s="1517" t="s">
        <v>2671</v>
      </c>
      <c r="E250" s="1518" t="s">
        <v>2643</v>
      </c>
      <c r="F250" s="1525">
        <v>108420000</v>
      </c>
    </row>
    <row r="251" spans="2:6">
      <c r="B251" s="1515">
        <v>30</v>
      </c>
      <c r="C251" s="1520"/>
      <c r="D251" s="1517" t="s">
        <v>2672</v>
      </c>
      <c r="E251" s="1518" t="s">
        <v>2643</v>
      </c>
      <c r="F251" s="1525">
        <v>131650000</v>
      </c>
    </row>
    <row r="252" spans="2:6">
      <c r="B252" s="1515">
        <v>31</v>
      </c>
      <c r="C252" s="1520"/>
      <c r="D252" s="1517" t="s">
        <v>2673</v>
      </c>
      <c r="E252" s="1518" t="s">
        <v>2643</v>
      </c>
      <c r="F252" s="1525">
        <v>182650000</v>
      </c>
    </row>
    <row r="253" spans="2:6">
      <c r="B253" s="1515">
        <v>32</v>
      </c>
      <c r="C253" s="1520"/>
      <c r="D253" s="1517" t="s">
        <v>2674</v>
      </c>
      <c r="E253" s="1518" t="s">
        <v>2643</v>
      </c>
      <c r="F253" s="1525">
        <v>235920000</v>
      </c>
    </row>
    <row r="254" spans="2:6">
      <c r="B254" s="1515">
        <v>33</v>
      </c>
      <c r="C254" s="1520"/>
      <c r="D254" s="1517" t="s">
        <v>2675</v>
      </c>
      <c r="E254" s="1518" t="s">
        <v>2643</v>
      </c>
      <c r="F254" s="1525">
        <v>70574000</v>
      </c>
    </row>
    <row r="255" spans="2:6">
      <c r="B255" s="1515">
        <v>34</v>
      </c>
      <c r="C255" s="1520"/>
      <c r="D255" s="1517" t="s">
        <v>2676</v>
      </c>
      <c r="E255" s="1518" t="s">
        <v>2643</v>
      </c>
      <c r="F255" s="1525">
        <v>329470000</v>
      </c>
    </row>
    <row r="256" spans="2:6">
      <c r="B256" s="1515">
        <v>35</v>
      </c>
      <c r="C256" s="1520"/>
      <c r="D256" s="1517" t="s">
        <v>2677</v>
      </c>
      <c r="E256" s="1518" t="s">
        <v>2643</v>
      </c>
      <c r="F256" s="1525">
        <v>100855000</v>
      </c>
    </row>
    <row r="257" spans="2:6">
      <c r="B257" s="1515">
        <v>36</v>
      </c>
      <c r="C257" s="1520"/>
      <c r="D257" s="1517" t="s">
        <v>2678</v>
      </c>
      <c r="E257" s="1518" t="s">
        <v>2643</v>
      </c>
      <c r="F257" s="1525">
        <v>196381000</v>
      </c>
    </row>
    <row r="258" spans="2:6">
      <c r="B258" s="1515">
        <v>37</v>
      </c>
      <c r="C258" s="1520"/>
      <c r="D258" s="1517" t="s">
        <v>2679</v>
      </c>
      <c r="E258" s="1518" t="s">
        <v>2643</v>
      </c>
      <c r="F258" s="1525">
        <v>169800000</v>
      </c>
    </row>
    <row r="259" spans="2:6">
      <c r="B259" s="1515">
        <v>38</v>
      </c>
      <c r="C259" s="1516">
        <v>43465</v>
      </c>
      <c r="D259" s="1517" t="s">
        <v>2680</v>
      </c>
      <c r="E259" s="1518" t="s">
        <v>2643</v>
      </c>
      <c r="F259" s="1525">
        <v>479031000</v>
      </c>
    </row>
    <row r="260" spans="2:6">
      <c r="B260" s="1515">
        <v>39</v>
      </c>
      <c r="C260" s="1520"/>
      <c r="D260" s="1517" t="s">
        <v>2681</v>
      </c>
      <c r="E260" s="1518" t="s">
        <v>2643</v>
      </c>
      <c r="F260" s="1525">
        <v>326880000</v>
      </c>
    </row>
    <row r="261" spans="2:6">
      <c r="B261" s="1515">
        <v>40</v>
      </c>
      <c r="C261" s="1520"/>
      <c r="D261" s="1517" t="s">
        <v>2682</v>
      </c>
      <c r="E261" s="1518" t="s">
        <v>2643</v>
      </c>
      <c r="F261" s="1525">
        <v>15883000</v>
      </c>
    </row>
    <row r="262" spans="2:6">
      <c r="B262" s="1515">
        <v>41</v>
      </c>
      <c r="C262" s="1520"/>
      <c r="D262" s="1517" t="s">
        <v>2683</v>
      </c>
      <c r="E262" s="1518" t="s">
        <v>2643</v>
      </c>
      <c r="F262" s="1525">
        <v>186310000</v>
      </c>
    </row>
    <row r="263" spans="2:6">
      <c r="B263" s="1515">
        <v>42</v>
      </c>
      <c r="C263" s="1520"/>
      <c r="D263" s="1517" t="s">
        <v>2684</v>
      </c>
      <c r="E263" s="1518" t="s">
        <v>2643</v>
      </c>
      <c r="F263" s="1525">
        <v>279125000</v>
      </c>
    </row>
    <row r="264" spans="2:6">
      <c r="B264" s="1515">
        <v>43</v>
      </c>
      <c r="C264" s="1520"/>
      <c r="D264" s="1517" t="s">
        <v>2685</v>
      </c>
      <c r="E264" s="1518" t="s">
        <v>2643</v>
      </c>
      <c r="F264" s="1525">
        <v>101460000</v>
      </c>
    </row>
    <row r="265" spans="2:6">
      <c r="B265" s="1515">
        <v>44</v>
      </c>
      <c r="C265" s="1520"/>
      <c r="D265" s="1517" t="s">
        <v>2686</v>
      </c>
      <c r="E265" s="1518" t="s">
        <v>2643</v>
      </c>
      <c r="F265" s="1525">
        <v>53180000</v>
      </c>
    </row>
    <row r="266" spans="2:6">
      <c r="B266" s="1515">
        <v>45</v>
      </c>
      <c r="C266" s="1520"/>
      <c r="D266" s="1517" t="s">
        <v>2687</v>
      </c>
      <c r="E266" s="1518" t="s">
        <v>2643</v>
      </c>
      <c r="F266" s="1525">
        <v>222848000</v>
      </c>
    </row>
    <row r="267" spans="2:6">
      <c r="B267" s="1515">
        <v>46</v>
      </c>
      <c r="C267" s="1520"/>
      <c r="D267" s="1517" t="s">
        <v>2688</v>
      </c>
      <c r="E267" s="1518" t="s">
        <v>2643</v>
      </c>
      <c r="F267" s="1525">
        <v>221029000</v>
      </c>
    </row>
    <row r="268" spans="2:6">
      <c r="B268" s="1515">
        <v>47</v>
      </c>
      <c r="C268" s="1520"/>
      <c r="D268" s="1517" t="s">
        <v>2689</v>
      </c>
      <c r="E268" s="1518" t="s">
        <v>2643</v>
      </c>
      <c r="F268" s="1525">
        <v>255010822</v>
      </c>
    </row>
    <row r="269" spans="2:6">
      <c r="B269" s="1515">
        <v>48</v>
      </c>
      <c r="C269" s="1520"/>
      <c r="D269" s="1517" t="s">
        <v>2690</v>
      </c>
      <c r="E269" s="1518" t="s">
        <v>2643</v>
      </c>
      <c r="F269" s="1525">
        <v>345236500</v>
      </c>
    </row>
    <row r="270" spans="2:6">
      <c r="B270" s="1515">
        <v>49</v>
      </c>
      <c r="C270" s="1520"/>
      <c r="D270" s="1517" t="s">
        <v>2691</v>
      </c>
      <c r="E270" s="1518" t="s">
        <v>2643</v>
      </c>
      <c r="F270" s="1525">
        <v>57042000</v>
      </c>
    </row>
    <row r="271" spans="2:6">
      <c r="B271" s="1515">
        <v>50</v>
      </c>
      <c r="C271" s="1520"/>
      <c r="D271" s="1517" t="s">
        <v>2692</v>
      </c>
      <c r="E271" s="1518" t="s">
        <v>2643</v>
      </c>
      <c r="F271" s="1525">
        <v>424765000</v>
      </c>
    </row>
    <row r="272" spans="2:6">
      <c r="B272" s="1515">
        <v>51</v>
      </c>
      <c r="C272" s="1520"/>
      <c r="D272" s="1517" t="s">
        <v>2693</v>
      </c>
      <c r="E272" s="1518" t="s">
        <v>2643</v>
      </c>
      <c r="F272" s="1525">
        <v>199380000</v>
      </c>
    </row>
    <row r="273" spans="2:6">
      <c r="B273" s="1515">
        <v>52</v>
      </c>
      <c r="C273" s="1520"/>
      <c r="D273" s="1517" t="s">
        <v>2694</v>
      </c>
      <c r="E273" s="1518" t="s">
        <v>2643</v>
      </c>
      <c r="F273" s="1525">
        <v>106250000</v>
      </c>
    </row>
    <row r="274" spans="2:6">
      <c r="B274" s="1515">
        <v>53</v>
      </c>
      <c r="C274" s="1520"/>
      <c r="D274" s="1517" t="s">
        <v>2695</v>
      </c>
      <c r="E274" s="1518" t="s">
        <v>2643</v>
      </c>
      <c r="F274" s="1525">
        <v>365250000</v>
      </c>
    </row>
    <row r="275" spans="2:6">
      <c r="B275" s="1515">
        <v>54</v>
      </c>
      <c r="C275" s="1520"/>
      <c r="D275" s="1517" t="s">
        <v>2696</v>
      </c>
      <c r="E275" s="1518" t="s">
        <v>2643</v>
      </c>
      <c r="F275" s="1525">
        <v>87900000</v>
      </c>
    </row>
    <row r="276" spans="2:6">
      <c r="B276" s="1515">
        <v>55</v>
      </c>
      <c r="C276" s="1520"/>
      <c r="D276" s="1517" t="s">
        <v>2697</v>
      </c>
      <c r="E276" s="1518" t="s">
        <v>2643</v>
      </c>
      <c r="F276" s="1525">
        <v>84250000</v>
      </c>
    </row>
    <row r="277" spans="2:6">
      <c r="B277" s="1515">
        <v>56</v>
      </c>
      <c r="C277" s="1516">
        <v>43465</v>
      </c>
      <c r="D277" s="1517" t="s">
        <v>2698</v>
      </c>
      <c r="E277" s="1518" t="s">
        <v>2643</v>
      </c>
      <c r="F277" s="1525">
        <v>395400000</v>
      </c>
    </row>
    <row r="278" spans="2:6">
      <c r="B278" s="1515">
        <v>57</v>
      </c>
      <c r="C278" s="1520"/>
      <c r="D278" s="1517" t="s">
        <v>2699</v>
      </c>
      <c r="E278" s="1518" t="s">
        <v>2643</v>
      </c>
      <c r="F278" s="1525">
        <v>599580000</v>
      </c>
    </row>
    <row r="279" spans="2:6">
      <c r="B279" s="1515">
        <v>58</v>
      </c>
      <c r="C279" s="1520"/>
      <c r="D279" s="1517" t="s">
        <v>2700</v>
      </c>
      <c r="E279" s="1518" t="s">
        <v>2643</v>
      </c>
      <c r="F279" s="1525">
        <v>123115000</v>
      </c>
    </row>
    <row r="280" spans="2:6">
      <c r="B280" s="1515">
        <v>59</v>
      </c>
      <c r="C280" s="1520"/>
      <c r="D280" s="1517" t="s">
        <v>2701</v>
      </c>
      <c r="E280" s="1518" t="s">
        <v>2643</v>
      </c>
      <c r="F280" s="1525">
        <v>179245000</v>
      </c>
    </row>
    <row r="281" spans="2:6">
      <c r="B281" s="1515">
        <v>60</v>
      </c>
      <c r="C281" s="1520"/>
      <c r="D281" s="1517" t="s">
        <v>2702</v>
      </c>
      <c r="E281" s="1518" t="s">
        <v>2643</v>
      </c>
      <c r="F281" s="1525">
        <v>61060000</v>
      </c>
    </row>
    <row r="282" spans="2:6">
      <c r="B282" s="1515">
        <v>61</v>
      </c>
      <c r="C282" s="1520"/>
      <c r="D282" s="1517" t="s">
        <v>2703</v>
      </c>
      <c r="E282" s="1518" t="s">
        <v>2643</v>
      </c>
      <c r="F282" s="1525">
        <v>31100000</v>
      </c>
    </row>
    <row r="283" spans="2:6">
      <c r="B283" s="1515">
        <v>62</v>
      </c>
      <c r="C283" s="1520"/>
      <c r="D283" s="1517" t="s">
        <v>2704</v>
      </c>
      <c r="E283" s="1518" t="s">
        <v>2643</v>
      </c>
      <c r="F283" s="1525">
        <v>153060000</v>
      </c>
    </row>
    <row r="284" spans="2:6">
      <c r="B284" s="1515">
        <v>63</v>
      </c>
      <c r="C284" s="1520"/>
      <c r="D284" s="1517" t="s">
        <v>2705</v>
      </c>
      <c r="E284" s="1518" t="s">
        <v>2643</v>
      </c>
      <c r="F284" s="1525">
        <v>274140000</v>
      </c>
    </row>
    <row r="285" spans="2:6">
      <c r="B285" s="1515">
        <v>64</v>
      </c>
      <c r="C285" s="1520"/>
      <c r="D285" s="1517" t="s">
        <v>2706</v>
      </c>
      <c r="E285" s="1518" t="s">
        <v>2643</v>
      </c>
      <c r="F285" s="1525">
        <v>157782000</v>
      </c>
    </row>
    <row r="286" spans="2:6">
      <c r="B286" s="1515">
        <v>65</v>
      </c>
      <c r="C286" s="1520"/>
      <c r="D286" s="1517" t="s">
        <v>2707</v>
      </c>
      <c r="E286" s="1518" t="s">
        <v>2643</v>
      </c>
      <c r="F286" s="1525">
        <v>810503400</v>
      </c>
    </row>
    <row r="287" spans="2:6">
      <c r="B287" s="1515">
        <v>66</v>
      </c>
      <c r="C287" s="1520"/>
      <c r="D287" s="1517" t="s">
        <v>2708</v>
      </c>
      <c r="E287" s="1518" t="s">
        <v>2643</v>
      </c>
      <c r="F287" s="1525">
        <v>412690000</v>
      </c>
    </row>
    <row r="288" spans="2:6">
      <c r="B288" s="1515">
        <v>67</v>
      </c>
      <c r="C288" s="1520"/>
      <c r="D288" s="1517" t="s">
        <v>2709</v>
      </c>
      <c r="E288" s="1518" t="s">
        <v>2643</v>
      </c>
      <c r="F288" s="1525">
        <v>46620000</v>
      </c>
    </row>
    <row r="289" spans="2:6">
      <c r="B289" s="1515">
        <v>68</v>
      </c>
      <c r="C289" s="1520"/>
      <c r="D289" s="1517" t="s">
        <v>2710</v>
      </c>
      <c r="E289" s="1518" t="s">
        <v>2643</v>
      </c>
      <c r="F289" s="1525">
        <v>240000</v>
      </c>
    </row>
    <row r="290" spans="2:6">
      <c r="B290" s="1515">
        <v>69</v>
      </c>
      <c r="C290" s="1520"/>
      <c r="D290" s="1517" t="s">
        <v>2711</v>
      </c>
      <c r="E290" s="1518" t="s">
        <v>2643</v>
      </c>
      <c r="F290" s="1525">
        <v>165222500</v>
      </c>
    </row>
    <row r="291" spans="2:6">
      <c r="B291" s="1515">
        <v>70</v>
      </c>
      <c r="C291" s="1520"/>
      <c r="D291" s="1517" t="s">
        <v>2712</v>
      </c>
      <c r="E291" s="1518" t="s">
        <v>2643</v>
      </c>
      <c r="F291" s="1525">
        <v>264994000</v>
      </c>
    </row>
    <row r="292" spans="2:6">
      <c r="B292" s="1515">
        <v>71</v>
      </c>
      <c r="C292" s="1520"/>
      <c r="D292" s="1517" t="s">
        <v>2713</v>
      </c>
      <c r="E292" s="1518" t="s">
        <v>2643</v>
      </c>
      <c r="F292" s="1525">
        <v>151800000</v>
      </c>
    </row>
    <row r="293" spans="2:6">
      <c r="B293" s="1515">
        <v>72</v>
      </c>
      <c r="C293" s="1520"/>
      <c r="D293" s="1517" t="s">
        <v>2714</v>
      </c>
      <c r="E293" s="1518" t="s">
        <v>2643</v>
      </c>
      <c r="F293" s="1525">
        <v>261300000</v>
      </c>
    </row>
    <row r="294" spans="2:6">
      <c r="B294" s="1515">
        <v>73</v>
      </c>
      <c r="C294" s="1520"/>
      <c r="D294" s="1517" t="s">
        <v>2715</v>
      </c>
      <c r="E294" s="1518" t="s">
        <v>2643</v>
      </c>
      <c r="F294" s="1525">
        <v>190540000</v>
      </c>
    </row>
    <row r="295" spans="2:6">
      <c r="B295" s="1515">
        <v>74</v>
      </c>
      <c r="C295" s="1520"/>
      <c r="D295" s="1517" t="s">
        <v>2716</v>
      </c>
      <c r="E295" s="1518" t="s">
        <v>2643</v>
      </c>
      <c r="F295" s="1525">
        <v>324754000</v>
      </c>
    </row>
    <row r="296" spans="2:6">
      <c r="B296" s="1515">
        <v>75</v>
      </c>
      <c r="C296" s="1516">
        <v>43465</v>
      </c>
      <c r="D296" s="1517" t="s">
        <v>2717</v>
      </c>
      <c r="E296" s="1518" t="s">
        <v>2643</v>
      </c>
      <c r="F296" s="1525">
        <v>372060000</v>
      </c>
    </row>
    <row r="297" spans="2:6">
      <c r="B297" s="1515">
        <v>76</v>
      </c>
      <c r="C297" s="1520"/>
      <c r="D297" s="1517" t="s">
        <v>2718</v>
      </c>
      <c r="E297" s="1518" t="s">
        <v>2643</v>
      </c>
      <c r="F297" s="1525">
        <v>404900000</v>
      </c>
    </row>
    <row r="298" spans="2:6">
      <c r="B298" s="2197" t="s">
        <v>9</v>
      </c>
      <c r="C298" s="2198"/>
      <c r="D298" s="2199"/>
      <c r="E298" s="1530"/>
      <c r="F298" s="1531">
        <f>SUM(F222:F297)</f>
        <v>16847865572</v>
      </c>
    </row>
    <row r="299" spans="2:6">
      <c r="B299" s="1515"/>
      <c r="C299" s="1520"/>
      <c r="D299" s="1517"/>
      <c r="E299" s="1518"/>
      <c r="F299" s="1525"/>
    </row>
    <row r="300" spans="2:6" ht="23.25" thickBot="1">
      <c r="B300" s="1927"/>
      <c r="C300" s="1931"/>
      <c r="D300" s="2234" t="s">
        <v>2719</v>
      </c>
      <c r="E300" s="1929"/>
      <c r="F300" s="1933"/>
    </row>
    <row r="301" spans="2:6">
      <c r="B301" s="1515">
        <v>1</v>
      </c>
      <c r="C301" s="1516">
        <v>43465</v>
      </c>
      <c r="D301" s="1517" t="s">
        <v>2720</v>
      </c>
      <c r="E301" s="1518" t="s">
        <v>2643</v>
      </c>
      <c r="F301" s="1525">
        <v>256546</v>
      </c>
    </row>
    <row r="302" spans="2:6">
      <c r="B302" s="1515">
        <v>2</v>
      </c>
      <c r="C302" s="1520"/>
      <c r="D302" s="1517" t="s">
        <v>2721</v>
      </c>
      <c r="E302" s="1518" t="s">
        <v>2643</v>
      </c>
      <c r="F302" s="1525">
        <v>51170</v>
      </c>
    </row>
    <row r="303" spans="2:6">
      <c r="B303" s="1515">
        <v>3</v>
      </c>
      <c r="C303" s="1520"/>
      <c r="D303" s="1517" t="s">
        <v>2722</v>
      </c>
      <c r="E303" s="1518" t="s">
        <v>2643</v>
      </c>
      <c r="F303" s="1525">
        <v>182027</v>
      </c>
    </row>
    <row r="304" spans="2:6">
      <c r="B304" s="1515">
        <v>4</v>
      </c>
      <c r="C304" s="1520"/>
      <c r="D304" s="1517" t="s">
        <v>2723</v>
      </c>
      <c r="E304" s="1518" t="s">
        <v>2643</v>
      </c>
      <c r="F304" s="1525">
        <v>223201</v>
      </c>
    </row>
    <row r="305" spans="2:8">
      <c r="B305" s="1515">
        <v>5</v>
      </c>
      <c r="C305" s="1520"/>
      <c r="D305" s="1517" t="s">
        <v>2724</v>
      </c>
      <c r="E305" s="1518" t="s">
        <v>2643</v>
      </c>
      <c r="F305" s="1525">
        <v>85473</v>
      </c>
    </row>
    <row r="306" spans="2:8" ht="22.5">
      <c r="B306" s="1515">
        <v>6</v>
      </c>
      <c r="C306" s="1520"/>
      <c r="D306" s="1517" t="s">
        <v>2725</v>
      </c>
      <c r="E306" s="1518" t="s">
        <v>2643</v>
      </c>
      <c r="F306" s="1525">
        <v>38822</v>
      </c>
    </row>
    <row r="307" spans="2:8">
      <c r="B307" s="1515">
        <v>7</v>
      </c>
      <c r="C307" s="1520"/>
      <c r="D307" s="1517" t="s">
        <v>2726</v>
      </c>
      <c r="E307" s="1518" t="s">
        <v>2643</v>
      </c>
      <c r="F307" s="1525">
        <v>53772</v>
      </c>
    </row>
    <row r="308" spans="2:8">
      <c r="B308" s="1515">
        <v>8</v>
      </c>
      <c r="C308" s="1520"/>
      <c r="D308" s="1517" t="s">
        <v>2727</v>
      </c>
      <c r="E308" s="1518" t="s">
        <v>2643</v>
      </c>
      <c r="F308" s="1525">
        <v>74134</v>
      </c>
    </row>
    <row r="309" spans="2:8">
      <c r="B309" s="2194" t="s">
        <v>9</v>
      </c>
      <c r="C309" s="2195"/>
      <c r="D309" s="2196"/>
      <c r="E309" s="1535"/>
      <c r="F309" s="1536">
        <f>SUM(F301:F308)</f>
        <v>965145</v>
      </c>
    </row>
    <row r="310" spans="2:8" s="1532" customFormat="1">
      <c r="B310" s="2194" t="s">
        <v>197</v>
      </c>
      <c r="C310" s="2195"/>
      <c r="D310" s="2196"/>
      <c r="E310" s="1535"/>
      <c r="F310" s="1537">
        <f>SUM(F166+F181+F210+F214+F219+F298+F309)</f>
        <v>63348225411</v>
      </c>
      <c r="H310" s="1533"/>
    </row>
    <row r="324" spans="8:8">
      <c r="H324" s="1533"/>
    </row>
  </sheetData>
  <mergeCells count="15">
    <mergeCell ref="B309:D309"/>
    <mergeCell ref="B310:D310"/>
    <mergeCell ref="B166:D166"/>
    <mergeCell ref="B181:D181"/>
    <mergeCell ref="B210:D210"/>
    <mergeCell ref="B214:D214"/>
    <mergeCell ref="B219:D219"/>
    <mergeCell ref="B298:D298"/>
    <mergeCell ref="B2:F2"/>
    <mergeCell ref="B3:F3"/>
    <mergeCell ref="B4:B5"/>
    <mergeCell ref="C4:C5"/>
    <mergeCell ref="D4:D5"/>
    <mergeCell ref="E4:E5"/>
    <mergeCell ref="F4:F5"/>
  </mergeCells>
  <pageMargins left="0.86614173228346458" right="0.15748031496062992" top="0.23622047244094491" bottom="0.62992125984251968" header="0" footer="0"/>
  <pageSetup fitToWidth="0" fitToHeight="0" orientation="portrait" horizontalDpi="0" verticalDpi="0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>
  <sheetPr>
    <tabColor rgb="FF00B0F0"/>
  </sheetPr>
  <dimension ref="B1:I370"/>
  <sheetViews>
    <sheetView topLeftCell="B1" workbookViewId="0">
      <pane xSplit="3" ySplit="5" topLeftCell="E6" activePane="bottomRight" state="frozen"/>
      <selection activeCell="M32" sqref="M32"/>
      <selection pane="topRight" activeCell="M32" sqref="M32"/>
      <selection pane="bottomLeft" activeCell="M32" sqref="M32"/>
      <selection pane="bottomRight" activeCell="B340" sqref="B340:G340"/>
    </sheetView>
  </sheetViews>
  <sheetFormatPr defaultColWidth="9.140625" defaultRowHeight="12.75"/>
  <cols>
    <col min="1" max="1" width="3.140625" style="1654" customWidth="1"/>
    <col min="2" max="2" width="4.28515625" style="1748" customWidth="1"/>
    <col min="3" max="3" width="15.140625" style="1654" customWidth="1"/>
    <col min="4" max="4" width="36.42578125" style="1654" customWidth="1"/>
    <col min="5" max="5" width="18.28515625" style="1745" customWidth="1"/>
    <col min="6" max="6" width="20.42578125" style="1747" customWidth="1"/>
    <col min="7" max="7" width="39.42578125" style="1747" customWidth="1"/>
    <col min="8" max="8" width="21.140625" style="1678" bestFit="1" customWidth="1"/>
    <col min="9" max="9" width="73.140625" style="1654" customWidth="1"/>
    <col min="10" max="16384" width="9.140625" style="1654"/>
  </cols>
  <sheetData>
    <row r="1" spans="2:9" ht="15.75">
      <c r="B1" s="2209" t="s">
        <v>0</v>
      </c>
      <c r="C1" s="2209"/>
      <c r="D1" s="2209"/>
      <c r="E1" s="2209"/>
      <c r="F1" s="2209"/>
      <c r="G1" s="2209"/>
      <c r="H1" s="1671"/>
      <c r="I1" s="1672"/>
    </row>
    <row r="2" spans="2:9" ht="16.5" customHeight="1">
      <c r="B2" s="2210" t="s">
        <v>1980</v>
      </c>
      <c r="C2" s="2209"/>
      <c r="D2" s="2209"/>
      <c r="E2" s="2209"/>
      <c r="F2" s="2209"/>
      <c r="G2" s="2209"/>
      <c r="H2" s="1671"/>
      <c r="I2" s="1672"/>
    </row>
    <row r="3" spans="2:9" ht="15.75">
      <c r="B3" s="2209" t="s">
        <v>2</v>
      </c>
      <c r="C3" s="2209"/>
      <c r="D3" s="2209"/>
      <c r="E3" s="2209"/>
      <c r="F3" s="2209"/>
      <c r="G3" s="2209"/>
      <c r="H3" s="1671"/>
      <c r="I3" s="1672"/>
    </row>
    <row r="4" spans="2:9" ht="16.5" customHeight="1" thickBot="1">
      <c r="B4" s="1673"/>
      <c r="C4" s="1674"/>
      <c r="D4" s="1675"/>
      <c r="E4" s="1676"/>
      <c r="F4" s="1677"/>
      <c r="G4" s="54" t="s">
        <v>3</v>
      </c>
    </row>
    <row r="5" spans="2:9" ht="26.25" customHeight="1">
      <c r="B5" s="1679" t="s">
        <v>1466</v>
      </c>
      <c r="C5" s="1680" t="s">
        <v>68</v>
      </c>
      <c r="D5" s="1680" t="s">
        <v>906</v>
      </c>
      <c r="E5" s="1681" t="s">
        <v>9</v>
      </c>
      <c r="F5" s="1680" t="s">
        <v>1981</v>
      </c>
      <c r="G5" s="1680" t="s">
        <v>1982</v>
      </c>
    </row>
    <row r="6" spans="2:9" s="1687" customFormat="1" ht="19.5" customHeight="1">
      <c r="B6" s="1682">
        <v>1</v>
      </c>
      <c r="C6" s="1683" t="s">
        <v>155</v>
      </c>
      <c r="D6" s="1683"/>
      <c r="E6" s="1684"/>
      <c r="F6" s="1685"/>
      <c r="G6" s="1880"/>
      <c r="H6" s="1686"/>
    </row>
    <row r="7" spans="2:9" s="1694" customFormat="1" ht="12">
      <c r="B7" s="1688"/>
      <c r="C7" s="1689"/>
      <c r="D7" s="1690" t="s">
        <v>1984</v>
      </c>
      <c r="E7" s="1691">
        <v>19200000</v>
      </c>
      <c r="F7" s="1692"/>
      <c r="G7" s="1881"/>
      <c r="H7" s="1693"/>
    </row>
    <row r="8" spans="2:9" s="1694" customFormat="1" ht="12">
      <c r="B8" s="1688"/>
      <c r="C8" s="1689"/>
      <c r="D8" s="1690" t="s">
        <v>1732</v>
      </c>
      <c r="E8" s="1691">
        <v>28000000</v>
      </c>
      <c r="F8" s="1692"/>
      <c r="G8" s="1881"/>
      <c r="H8" s="1693"/>
    </row>
    <row r="9" spans="2:9" s="1694" customFormat="1" ht="12">
      <c r="B9" s="1688"/>
      <c r="C9" s="1689"/>
      <c r="D9" s="1690" t="s">
        <v>1733</v>
      </c>
      <c r="E9" s="1691">
        <v>61050000</v>
      </c>
      <c r="F9" s="1692"/>
      <c r="G9" s="1881"/>
      <c r="H9" s="1693"/>
    </row>
    <row r="10" spans="2:9" s="1694" customFormat="1" ht="12">
      <c r="B10" s="1688"/>
      <c r="C10" s="1689"/>
      <c r="D10" s="1690" t="s">
        <v>1734</v>
      </c>
      <c r="E10" s="1691">
        <v>12650000</v>
      </c>
      <c r="F10" s="1692"/>
      <c r="G10" s="1881"/>
      <c r="H10" s="1693"/>
    </row>
    <row r="11" spans="2:9" s="1694" customFormat="1" ht="12">
      <c r="B11" s="1688"/>
      <c r="C11" s="1689"/>
      <c r="D11" s="1690" t="s">
        <v>1985</v>
      </c>
      <c r="E11" s="1691">
        <v>3339936864</v>
      </c>
      <c r="F11" s="1692"/>
      <c r="G11" s="1881"/>
      <c r="H11" s="1693"/>
    </row>
    <row r="12" spans="2:9" s="1694" customFormat="1" ht="12">
      <c r="B12" s="1688"/>
      <c r="C12" s="1689"/>
      <c r="D12" s="1690" t="s">
        <v>1736</v>
      </c>
      <c r="E12" s="1691">
        <v>72070000</v>
      </c>
      <c r="F12" s="1692"/>
      <c r="G12" s="1881"/>
      <c r="H12" s="1693"/>
    </row>
    <row r="13" spans="2:9" s="1694" customFormat="1" ht="12">
      <c r="B13" s="1688"/>
      <c r="C13" s="1689"/>
      <c r="D13" s="1690" t="s">
        <v>1738</v>
      </c>
      <c r="E13" s="1691">
        <v>37150000</v>
      </c>
      <c r="F13" s="1695"/>
      <c r="G13" s="1881"/>
      <c r="H13" s="1693"/>
      <c r="I13" s="1696">
        <f>SUM(E7:E19)</f>
        <v>21051323148</v>
      </c>
    </row>
    <row r="14" spans="2:9" s="1694" customFormat="1" ht="12">
      <c r="B14" s="1688"/>
      <c r="C14" s="1689"/>
      <c r="D14" s="1690" t="s">
        <v>1741</v>
      </c>
      <c r="E14" s="1691">
        <v>17146910000</v>
      </c>
      <c r="F14" s="1692"/>
      <c r="G14" s="1881"/>
      <c r="H14" s="1693"/>
    </row>
    <row r="15" spans="2:9" s="1694" customFormat="1" ht="12">
      <c r="B15" s="1688"/>
      <c r="C15" s="1689"/>
      <c r="D15" s="1690" t="s">
        <v>1744</v>
      </c>
      <c r="E15" s="1691">
        <v>47756680</v>
      </c>
      <c r="F15" s="1692"/>
      <c r="G15" s="1881"/>
      <c r="H15" s="1693"/>
    </row>
    <row r="16" spans="2:9" s="1694" customFormat="1" ht="12">
      <c r="B16" s="1688"/>
      <c r="C16" s="1689"/>
      <c r="D16" s="1697" t="s">
        <v>1745</v>
      </c>
      <c r="E16" s="1691">
        <v>61844250</v>
      </c>
      <c r="F16" s="1692"/>
      <c r="G16" s="1881" t="s">
        <v>1986</v>
      </c>
      <c r="H16" s="1693"/>
    </row>
    <row r="17" spans="2:9" s="1694" customFormat="1" ht="12">
      <c r="B17" s="1688"/>
      <c r="C17" s="1689"/>
      <c r="D17" s="1697" t="s">
        <v>1746</v>
      </c>
      <c r="E17" s="1691">
        <v>56000000</v>
      </c>
      <c r="F17" s="1692"/>
      <c r="G17" s="1881"/>
      <c r="H17" s="1693"/>
    </row>
    <row r="18" spans="2:9" s="1694" customFormat="1" ht="12">
      <c r="B18" s="1688"/>
      <c r="C18" s="1689"/>
      <c r="D18" s="1690" t="s">
        <v>1749</v>
      </c>
      <c r="E18" s="1691">
        <v>555354</v>
      </c>
      <c r="F18" s="1692"/>
      <c r="G18" s="1881"/>
      <c r="H18" s="1693"/>
    </row>
    <row r="19" spans="2:9" s="1694" customFormat="1" ht="12">
      <c r="B19" s="1688"/>
      <c r="C19" s="1689"/>
      <c r="D19" s="1690" t="s">
        <v>1750</v>
      </c>
      <c r="E19" s="1691">
        <v>168200000</v>
      </c>
      <c r="F19" s="1692"/>
      <c r="G19" s="1881"/>
      <c r="H19" s="1693"/>
    </row>
    <row r="20" spans="2:9" s="1694" customFormat="1" ht="12">
      <c r="B20" s="1688"/>
      <c r="C20" s="1689"/>
      <c r="F20" s="1692"/>
      <c r="G20" s="1881"/>
      <c r="H20" s="1693"/>
    </row>
    <row r="21" spans="2:9" s="1687" customFormat="1" ht="0.75" customHeight="1">
      <c r="B21" s="1688"/>
      <c r="C21" s="1689"/>
      <c r="D21" s="1690"/>
      <c r="E21" s="1698"/>
      <c r="F21" s="1692"/>
      <c r="G21" s="1882"/>
      <c r="H21" s="1686"/>
    </row>
    <row r="22" spans="2:9" s="1694" customFormat="1" ht="12">
      <c r="B22" s="2211" t="s">
        <v>197</v>
      </c>
      <c r="C22" s="2212"/>
      <c r="D22" s="2213"/>
      <c r="E22" s="1684">
        <f>SUM(E7:E21)</f>
        <v>21051323148</v>
      </c>
      <c r="F22" s="1685"/>
      <c r="G22" s="1883"/>
      <c r="H22" s="1693"/>
      <c r="I22" s="1693" t="e">
        <f>+#REF!-45640572348.02</f>
        <v>#REF!</v>
      </c>
    </row>
    <row r="23" spans="2:9" s="1687" customFormat="1" ht="12">
      <c r="B23" s="1699"/>
      <c r="C23" s="1689"/>
      <c r="D23" s="1689"/>
      <c r="E23" s="1698"/>
      <c r="F23" s="1692"/>
      <c r="G23" s="1881"/>
      <c r="H23" s="1686"/>
    </row>
    <row r="24" spans="2:9" s="1694" customFormat="1" ht="12">
      <c r="B24" s="1682">
        <v>2</v>
      </c>
      <c r="C24" s="1683" t="s">
        <v>156</v>
      </c>
      <c r="D24" s="1683"/>
      <c r="E24" s="1684"/>
      <c r="F24" s="1685"/>
      <c r="G24" s="1883"/>
      <c r="H24" s="1693"/>
    </row>
    <row r="25" spans="2:9" s="1704" customFormat="1" ht="12">
      <c r="B25" s="1700"/>
      <c r="C25" s="1701"/>
      <c r="D25" s="1702" t="s">
        <v>1987</v>
      </c>
      <c r="E25" s="1691">
        <v>13392568833.540001</v>
      </c>
      <c r="F25" s="1703"/>
      <c r="G25" s="1714" t="s">
        <v>1988</v>
      </c>
      <c r="H25" s="1693"/>
    </row>
    <row r="26" spans="2:9" s="1704" customFormat="1" ht="24">
      <c r="B26" s="1700"/>
      <c r="C26" s="1701"/>
      <c r="D26" s="1702" t="s">
        <v>1989</v>
      </c>
      <c r="E26" s="1691">
        <v>16327479</v>
      </c>
      <c r="F26" s="1703"/>
      <c r="G26" s="1714" t="s">
        <v>1990</v>
      </c>
      <c r="H26" s="1693"/>
    </row>
    <row r="27" spans="2:9" s="1707" customFormat="1" ht="12">
      <c r="B27" s="1705"/>
      <c r="C27" s="1702"/>
      <c r="D27" s="1702"/>
      <c r="E27" s="1691"/>
      <c r="F27" s="1706"/>
      <c r="G27" s="1714"/>
      <c r="H27" s="1686"/>
    </row>
    <row r="28" spans="2:9" s="1704" customFormat="1" ht="2.25" customHeight="1">
      <c r="B28" s="1705"/>
      <c r="C28" s="1702"/>
      <c r="D28" s="1702"/>
      <c r="E28" s="1691"/>
      <c r="F28" s="1706"/>
      <c r="G28" s="1714"/>
      <c r="H28" s="1693"/>
    </row>
    <row r="29" spans="2:9" s="1704" customFormat="1" ht="12">
      <c r="B29" s="2200" t="s">
        <v>1991</v>
      </c>
      <c r="C29" s="2201"/>
      <c r="D29" s="2202"/>
      <c r="E29" s="1708">
        <f>SUM(E25:E28)</f>
        <v>13408896312.540001</v>
      </c>
      <c r="F29" s="1709"/>
      <c r="G29" s="1884"/>
      <c r="H29" s="1693"/>
    </row>
    <row r="30" spans="2:9" s="1704" customFormat="1" ht="12">
      <c r="B30" s="1705"/>
      <c r="C30" s="1702"/>
      <c r="D30" s="1702"/>
      <c r="E30" s="1691"/>
      <c r="F30" s="1706"/>
      <c r="G30" s="1714"/>
      <c r="H30" s="1693"/>
    </row>
    <row r="31" spans="2:9" s="1704" customFormat="1" ht="12">
      <c r="B31" s="1700">
        <v>3</v>
      </c>
      <c r="C31" s="1710" t="s">
        <v>1286</v>
      </c>
      <c r="D31" s="1711"/>
      <c r="E31" s="1712"/>
      <c r="F31" s="1713"/>
      <c r="G31" s="1885"/>
      <c r="H31" s="1693"/>
    </row>
    <row r="32" spans="2:9" s="1704" customFormat="1" ht="12">
      <c r="B32" s="1705"/>
      <c r="C32" s="1702"/>
      <c r="D32" s="1702"/>
      <c r="E32" s="1691"/>
      <c r="F32" s="1706"/>
      <c r="G32" s="1714"/>
      <c r="H32" s="1693"/>
    </row>
    <row r="33" spans="2:8" s="1704" customFormat="1" ht="12">
      <c r="B33" s="1705"/>
      <c r="C33" s="1702"/>
      <c r="D33" s="1702" t="s">
        <v>1983</v>
      </c>
      <c r="E33" s="1691">
        <v>107811490</v>
      </c>
      <c r="F33" s="1706"/>
      <c r="G33" s="1714"/>
      <c r="H33" s="1693"/>
    </row>
    <row r="34" spans="2:8" s="1704" customFormat="1" ht="12">
      <c r="B34" s="1705"/>
      <c r="C34" s="1702"/>
      <c r="D34" s="1702" t="s">
        <v>1992</v>
      </c>
      <c r="E34" s="1691">
        <v>128250000</v>
      </c>
      <c r="F34" s="1706"/>
      <c r="G34" s="1714"/>
      <c r="H34" s="1693"/>
    </row>
    <row r="35" spans="2:8" s="1704" customFormat="1" ht="12">
      <c r="B35" s="1705"/>
      <c r="C35" s="1702"/>
      <c r="D35" s="1702" t="s">
        <v>1992</v>
      </c>
      <c r="E35" s="1691">
        <v>316258140</v>
      </c>
      <c r="F35" s="1706"/>
      <c r="G35" s="1714"/>
      <c r="H35" s="1693"/>
    </row>
    <row r="36" spans="2:8" s="1704" customFormat="1" ht="12">
      <c r="B36" s="1705"/>
      <c r="C36" s="1702"/>
      <c r="D36" s="1702" t="s">
        <v>1993</v>
      </c>
      <c r="E36" s="1691">
        <v>323100000</v>
      </c>
      <c r="F36" s="1706"/>
      <c r="G36" s="1714" t="s">
        <v>1994</v>
      </c>
      <c r="H36" s="1693"/>
    </row>
    <row r="37" spans="2:8" s="1704" customFormat="1" ht="12">
      <c r="B37" s="1705"/>
      <c r="C37" s="1702"/>
      <c r="D37" s="1702" t="s">
        <v>1995</v>
      </c>
      <c r="E37" s="1691">
        <v>11388080</v>
      </c>
      <c r="F37" s="1706"/>
      <c r="G37" s="1714"/>
      <c r="H37" s="1693"/>
    </row>
    <row r="38" spans="2:8" s="1704" customFormat="1" ht="12">
      <c r="B38" s="1705"/>
      <c r="C38" s="1702"/>
      <c r="D38" s="1702" t="s">
        <v>1996</v>
      </c>
      <c r="E38" s="1691">
        <v>5095640</v>
      </c>
      <c r="F38" s="1706"/>
      <c r="G38" s="1714"/>
      <c r="H38" s="1693"/>
    </row>
    <row r="39" spans="2:8" s="1704" customFormat="1" ht="12">
      <c r="B39" s="1705"/>
      <c r="C39" s="1702"/>
      <c r="D39" s="1702" t="s">
        <v>1997</v>
      </c>
      <c r="E39" s="1691">
        <v>374419800</v>
      </c>
      <c r="F39" s="1706"/>
      <c r="G39" s="1714"/>
      <c r="H39" s="1693"/>
    </row>
    <row r="40" spans="2:8" s="1704" customFormat="1" ht="12">
      <c r="B40" s="1705"/>
      <c r="C40" s="1702"/>
      <c r="D40" s="1702" t="s">
        <v>1997</v>
      </c>
      <c r="E40" s="1691">
        <v>21410000</v>
      </c>
      <c r="F40" s="1706"/>
      <c r="G40" s="1714"/>
      <c r="H40" s="1693"/>
    </row>
    <row r="41" spans="2:8" s="1704" customFormat="1" ht="12">
      <c r="B41" s="1705"/>
      <c r="C41" s="1702"/>
      <c r="D41" s="1702" t="s">
        <v>1997</v>
      </c>
      <c r="E41" s="1691">
        <v>59725700</v>
      </c>
      <c r="F41" s="1706"/>
      <c r="G41" s="1714"/>
      <c r="H41" s="1693"/>
    </row>
    <row r="42" spans="2:8" s="1704" customFormat="1" ht="12">
      <c r="B42" s="1705"/>
      <c r="C42" s="1702"/>
      <c r="D42" s="1702" t="s">
        <v>1997</v>
      </c>
      <c r="E42" s="1691">
        <v>23794100</v>
      </c>
      <c r="F42" s="1706"/>
      <c r="G42" s="1714"/>
      <c r="H42" s="1693"/>
    </row>
    <row r="43" spans="2:8" s="1704" customFormat="1" ht="12">
      <c r="B43" s="1705"/>
      <c r="C43" s="1702"/>
      <c r="D43" s="1702" t="s">
        <v>1998</v>
      </c>
      <c r="E43" s="1691">
        <v>20250000</v>
      </c>
      <c r="F43" s="1706"/>
      <c r="G43" s="1714"/>
      <c r="H43" s="1693"/>
    </row>
    <row r="44" spans="2:8" s="1704" customFormat="1" ht="12">
      <c r="B44" s="1705"/>
      <c r="C44" s="1702"/>
      <c r="D44" s="1702" t="s">
        <v>1999</v>
      </c>
      <c r="E44" s="1691">
        <v>23973180</v>
      </c>
      <c r="F44" s="1706"/>
      <c r="G44" s="1714"/>
      <c r="H44" s="1693"/>
    </row>
    <row r="45" spans="2:8" s="1704" customFormat="1" ht="12">
      <c r="B45" s="1705"/>
      <c r="C45" s="1702"/>
      <c r="D45" s="1702" t="s">
        <v>1999</v>
      </c>
      <c r="E45" s="1691">
        <v>7991060</v>
      </c>
      <c r="F45" s="1706"/>
      <c r="G45" s="1714"/>
      <c r="H45" s="1693"/>
    </row>
    <row r="46" spans="2:8" s="1704" customFormat="1" ht="12">
      <c r="B46" s="1705"/>
      <c r="C46" s="1702"/>
      <c r="D46" s="1702" t="s">
        <v>2000</v>
      </c>
      <c r="E46" s="1691">
        <v>2547820</v>
      </c>
      <c r="F46" s="1706"/>
      <c r="G46" s="1714"/>
      <c r="H46" s="1693"/>
    </row>
    <row r="47" spans="2:8" s="1704" customFormat="1" ht="12">
      <c r="B47" s="1705"/>
      <c r="C47" s="1702"/>
      <c r="D47" s="1702" t="s">
        <v>2001</v>
      </c>
      <c r="E47" s="1691">
        <v>15634740</v>
      </c>
      <c r="F47" s="1706"/>
      <c r="G47" s="1714"/>
      <c r="H47" s="1693"/>
    </row>
    <row r="48" spans="2:8" s="1704" customFormat="1" ht="12">
      <c r="B48" s="1705"/>
      <c r="C48" s="1702"/>
      <c r="D48" s="1702" t="s">
        <v>2001</v>
      </c>
      <c r="E48" s="1691">
        <v>30111400</v>
      </c>
      <c r="F48" s="1706"/>
      <c r="G48" s="1714"/>
      <c r="H48" s="1693"/>
    </row>
    <row r="49" spans="2:8" s="1704" customFormat="1" ht="12">
      <c r="B49" s="1705"/>
      <c r="C49" s="1702"/>
      <c r="D49" s="1702" t="s">
        <v>2001</v>
      </c>
      <c r="E49" s="1691">
        <v>5211580</v>
      </c>
      <c r="F49" s="1706"/>
      <c r="G49" s="1714"/>
      <c r="H49" s="1693"/>
    </row>
    <row r="50" spans="2:8" s="1704" customFormat="1" ht="12">
      <c r="B50" s="1705"/>
      <c r="C50" s="1702"/>
      <c r="D50" s="1702" t="s">
        <v>2002</v>
      </c>
      <c r="E50" s="1691">
        <v>73953000</v>
      </c>
      <c r="F50" s="1706"/>
      <c r="G50" s="1714"/>
      <c r="H50" s="1693"/>
    </row>
    <row r="51" spans="2:8" s="1704" customFormat="1" ht="12">
      <c r="B51" s="1705"/>
      <c r="C51" s="1702"/>
      <c r="D51" s="1702" t="s">
        <v>2002</v>
      </c>
      <c r="E51" s="1691">
        <v>56855250</v>
      </c>
      <c r="F51" s="1706"/>
      <c r="G51" s="1714"/>
      <c r="H51" s="1693"/>
    </row>
    <row r="52" spans="2:8" s="1704" customFormat="1" ht="12">
      <c r="B52" s="1705"/>
      <c r="C52" s="1702"/>
      <c r="D52" s="1702" t="s">
        <v>2003</v>
      </c>
      <c r="E52" s="1691">
        <v>4008840</v>
      </c>
      <c r="F52" s="1706"/>
      <c r="G52" s="1714"/>
      <c r="H52" s="1693"/>
    </row>
    <row r="53" spans="2:8" s="1704" customFormat="1" ht="12">
      <c r="B53" s="1705"/>
      <c r="C53" s="1702"/>
      <c r="D53" s="1702" t="s">
        <v>2004</v>
      </c>
      <c r="E53" s="1691">
        <v>67563800</v>
      </c>
      <c r="F53" s="1706"/>
      <c r="G53" s="1714"/>
      <c r="H53" s="1693"/>
    </row>
    <row r="54" spans="2:8" s="1704" customFormat="1" ht="12">
      <c r="B54" s="1705"/>
      <c r="C54" s="1702"/>
      <c r="D54" s="1702" t="s">
        <v>2005</v>
      </c>
      <c r="E54" s="1691">
        <v>24320560</v>
      </c>
      <c r="F54" s="1706"/>
      <c r="G54" s="1714"/>
      <c r="H54" s="1693"/>
    </row>
    <row r="55" spans="2:8" s="1704" customFormat="1" ht="12">
      <c r="B55" s="1705"/>
      <c r="C55" s="1702"/>
      <c r="D55" s="1702" t="s">
        <v>2005</v>
      </c>
      <c r="E55" s="1691">
        <v>10994720</v>
      </c>
      <c r="F55" s="1706"/>
      <c r="G55" s="1714"/>
      <c r="H55" s="1693"/>
    </row>
    <row r="56" spans="2:8" s="1704" customFormat="1" ht="12">
      <c r="B56" s="1705"/>
      <c r="C56" s="1702"/>
      <c r="D56" s="1702" t="s">
        <v>2006</v>
      </c>
      <c r="E56" s="1691">
        <v>39723750</v>
      </c>
      <c r="F56" s="1706"/>
      <c r="G56" s="1714"/>
      <c r="H56" s="1693"/>
    </row>
    <row r="57" spans="2:8" s="1704" customFormat="1" ht="12">
      <c r="B57" s="1705"/>
      <c r="C57" s="1702"/>
      <c r="D57" s="1702" t="s">
        <v>2007</v>
      </c>
      <c r="E57" s="1691">
        <v>2984300</v>
      </c>
      <c r="F57" s="1706"/>
      <c r="G57" s="1714"/>
      <c r="H57" s="1693"/>
    </row>
    <row r="58" spans="2:8" s="1704" customFormat="1" ht="12">
      <c r="B58" s="1705"/>
      <c r="C58" s="1702"/>
      <c r="D58" s="1702" t="s">
        <v>2008</v>
      </c>
      <c r="E58" s="1691">
        <v>1909930</v>
      </c>
      <c r="F58" s="1706"/>
      <c r="G58" s="1714"/>
      <c r="H58" s="1693"/>
    </row>
    <row r="59" spans="2:8" s="1704" customFormat="1" ht="12">
      <c r="B59" s="1705"/>
      <c r="C59" s="1702"/>
      <c r="D59" s="1702" t="s">
        <v>2009</v>
      </c>
      <c r="E59" s="1691">
        <v>2250000</v>
      </c>
      <c r="F59" s="1706"/>
      <c r="G59" s="1714"/>
      <c r="H59" s="1693"/>
    </row>
    <row r="60" spans="2:8" s="1704" customFormat="1" ht="12">
      <c r="B60" s="1705"/>
      <c r="C60" s="1702"/>
      <c r="D60" s="1702" t="s">
        <v>2009</v>
      </c>
      <c r="E60" s="1691">
        <v>8625000</v>
      </c>
      <c r="F60" s="1706"/>
      <c r="G60" s="1714"/>
      <c r="H60" s="1693"/>
    </row>
    <row r="61" spans="2:8" s="1704" customFormat="1" ht="12">
      <c r="B61" s="1705"/>
      <c r="C61" s="1702"/>
      <c r="D61" s="1702" t="s">
        <v>2009</v>
      </c>
      <c r="E61" s="1691">
        <v>3375000</v>
      </c>
      <c r="F61" s="1706"/>
      <c r="G61" s="1714"/>
      <c r="H61" s="1693"/>
    </row>
    <row r="62" spans="2:8" s="1704" customFormat="1" ht="12">
      <c r="B62" s="1705"/>
      <c r="C62" s="1702"/>
      <c r="D62" s="1702" t="s">
        <v>2010</v>
      </c>
      <c r="E62" s="1691">
        <v>1750000</v>
      </c>
      <c r="F62" s="1706"/>
      <c r="G62" s="1714"/>
      <c r="H62" s="1693"/>
    </row>
    <row r="63" spans="2:8" s="1704" customFormat="1" ht="12">
      <c r="B63" s="1705"/>
      <c r="C63" s="1702"/>
      <c r="D63" s="1702" t="s">
        <v>2011</v>
      </c>
      <c r="E63" s="1691">
        <v>3640000</v>
      </c>
      <c r="F63" s="1706"/>
      <c r="G63" s="1714"/>
      <c r="H63" s="1693"/>
    </row>
    <row r="64" spans="2:8" s="1704" customFormat="1" ht="12">
      <c r="B64" s="1705"/>
      <c r="C64" s="1702"/>
      <c r="D64" s="1702" t="s">
        <v>2012</v>
      </c>
      <c r="E64" s="1691">
        <v>1775000</v>
      </c>
      <c r="F64" s="1706"/>
      <c r="G64" s="1714"/>
      <c r="H64" s="1693"/>
    </row>
    <row r="65" spans="2:8" s="1704" customFormat="1" ht="12">
      <c r="B65" s="1705"/>
      <c r="C65" s="1702"/>
      <c r="D65" s="1702" t="s">
        <v>2012</v>
      </c>
      <c r="E65" s="1691">
        <v>1250000</v>
      </c>
      <c r="F65" s="1706"/>
      <c r="G65" s="1714"/>
      <c r="H65" s="1693"/>
    </row>
    <row r="66" spans="2:8" s="1704" customFormat="1" ht="12">
      <c r="B66" s="1705"/>
      <c r="C66" s="1702"/>
      <c r="D66" s="1702" t="s">
        <v>2013</v>
      </c>
      <c r="E66" s="1691">
        <v>2860000</v>
      </c>
      <c r="F66" s="1706"/>
      <c r="G66" s="1714"/>
      <c r="H66" s="1693"/>
    </row>
    <row r="67" spans="2:8" s="1704" customFormat="1" ht="12">
      <c r="B67" s="1705"/>
      <c r="C67" s="1702"/>
      <c r="D67" s="1702" t="s">
        <v>2014</v>
      </c>
      <c r="E67" s="1691">
        <v>2227170</v>
      </c>
      <c r="F67" s="1706"/>
      <c r="G67" s="1714"/>
      <c r="H67" s="1693"/>
    </row>
    <row r="68" spans="2:8" s="1704" customFormat="1" ht="12">
      <c r="B68" s="1705"/>
      <c r="C68" s="1702"/>
      <c r="D68" s="1702" t="s">
        <v>2014</v>
      </c>
      <c r="E68" s="1691">
        <v>2227170</v>
      </c>
      <c r="F68" s="1706"/>
      <c r="G68" s="1714"/>
      <c r="H68" s="1693"/>
    </row>
    <row r="69" spans="2:8" s="1704" customFormat="1" ht="12">
      <c r="B69" s="1705"/>
      <c r="C69" s="1702"/>
      <c r="D69" s="1702" t="s">
        <v>2014</v>
      </c>
      <c r="E69" s="1691">
        <v>2227170</v>
      </c>
      <c r="F69" s="1706"/>
      <c r="G69" s="1714"/>
      <c r="H69" s="1693"/>
    </row>
    <row r="70" spans="2:8" s="1704" customFormat="1" ht="12">
      <c r="B70" s="1705"/>
      <c r="C70" s="1702"/>
      <c r="D70" s="1702" t="s">
        <v>2014</v>
      </c>
      <c r="E70" s="1691">
        <v>2227170</v>
      </c>
      <c r="F70" s="1706"/>
      <c r="G70" s="1714"/>
      <c r="H70" s="1693"/>
    </row>
    <row r="71" spans="2:8" s="1704" customFormat="1" ht="12">
      <c r="B71" s="1705"/>
      <c r="C71" s="1702"/>
      <c r="D71" s="1702" t="s">
        <v>2015</v>
      </c>
      <c r="E71" s="1691">
        <v>1650000</v>
      </c>
      <c r="F71" s="1706"/>
      <c r="G71" s="1714"/>
      <c r="H71" s="1693"/>
    </row>
    <row r="72" spans="2:8" s="1704" customFormat="1" ht="12">
      <c r="B72" s="1705"/>
      <c r="C72" s="1702"/>
      <c r="D72" s="1702" t="s">
        <v>2016</v>
      </c>
      <c r="E72" s="1691">
        <v>4231590</v>
      </c>
      <c r="F72" s="1706"/>
      <c r="G72" s="1714"/>
      <c r="H72" s="1693"/>
    </row>
    <row r="73" spans="2:8" s="1704" customFormat="1" ht="12">
      <c r="B73" s="1705"/>
      <c r="C73" s="1702"/>
      <c r="D73" s="1702" t="s">
        <v>2017</v>
      </c>
      <c r="E73" s="1691">
        <v>2375670</v>
      </c>
      <c r="F73" s="1706"/>
      <c r="G73" s="1714"/>
      <c r="H73" s="1693"/>
    </row>
    <row r="74" spans="2:8" s="1704" customFormat="1" ht="12">
      <c r="B74" s="1705"/>
      <c r="C74" s="1702"/>
      <c r="D74" s="1702" t="s">
        <v>2018</v>
      </c>
      <c r="E74" s="1691">
        <v>5196840</v>
      </c>
      <c r="F74" s="1706"/>
      <c r="G74" s="1714"/>
      <c r="H74" s="1693"/>
    </row>
    <row r="75" spans="2:8" s="1704" customFormat="1" ht="12">
      <c r="B75" s="1705"/>
      <c r="C75" s="1702"/>
      <c r="D75" s="1702" t="s">
        <v>2019</v>
      </c>
      <c r="E75" s="1691">
        <v>16300000</v>
      </c>
      <c r="F75" s="1706"/>
      <c r="G75" s="1714"/>
      <c r="H75" s="1693"/>
    </row>
    <row r="76" spans="2:8" s="1704" customFormat="1" ht="12">
      <c r="B76" s="1705"/>
      <c r="C76" s="1702"/>
      <c r="D76" s="1702" t="s">
        <v>2019</v>
      </c>
      <c r="E76" s="1691">
        <v>12100000</v>
      </c>
      <c r="F76" s="1706"/>
      <c r="G76" s="1714"/>
      <c r="H76" s="1693"/>
    </row>
    <row r="77" spans="2:8" s="1704" customFormat="1" ht="12">
      <c r="B77" s="1705"/>
      <c r="C77" s="1702"/>
      <c r="D77" s="1702" t="s">
        <v>2019</v>
      </c>
      <c r="E77" s="1691">
        <v>27885000</v>
      </c>
      <c r="F77" s="1706"/>
      <c r="G77" s="1714"/>
      <c r="H77" s="1693"/>
    </row>
    <row r="78" spans="2:8" s="1704" customFormat="1" ht="12">
      <c r="B78" s="1705"/>
      <c r="C78" s="1702"/>
      <c r="D78" s="1702" t="s">
        <v>2019</v>
      </c>
      <c r="E78" s="1691">
        <v>24200000</v>
      </c>
      <c r="F78" s="1706"/>
      <c r="G78" s="1714"/>
      <c r="H78" s="1693"/>
    </row>
    <row r="79" spans="2:8" s="1704" customFormat="1" ht="12">
      <c r="B79" s="1705"/>
      <c r="C79" s="1702"/>
      <c r="D79" s="1702" t="s">
        <v>2019</v>
      </c>
      <c r="E79" s="1691">
        <v>65065000</v>
      </c>
      <c r="F79" s="1706"/>
      <c r="G79" s="1714"/>
      <c r="H79" s="1693"/>
    </row>
    <row r="80" spans="2:8" s="1704" customFormat="1" ht="12">
      <c r="B80" s="1705"/>
      <c r="C80" s="1702"/>
      <c r="D80" s="1702" t="s">
        <v>2019</v>
      </c>
      <c r="E80" s="1691">
        <v>20900000</v>
      </c>
      <c r="F80" s="1706"/>
      <c r="G80" s="1714"/>
      <c r="H80" s="1693"/>
    </row>
    <row r="81" spans="2:8" s="1704" customFormat="1" ht="12">
      <c r="B81" s="1705"/>
      <c r="C81" s="1702"/>
      <c r="D81" s="1702" t="s">
        <v>2020</v>
      </c>
      <c r="E81" s="1691">
        <v>10800000</v>
      </c>
      <c r="F81" s="1706"/>
      <c r="G81" s="1714"/>
      <c r="H81" s="1693"/>
    </row>
    <row r="82" spans="2:8" s="1704" customFormat="1" ht="12">
      <c r="B82" s="1705"/>
      <c r="C82" s="1702"/>
      <c r="D82" s="1702" t="s">
        <v>2020</v>
      </c>
      <c r="E82" s="1691">
        <v>10800000</v>
      </c>
      <c r="F82" s="1706"/>
      <c r="G82" s="1714"/>
      <c r="H82" s="1693"/>
    </row>
    <row r="83" spans="2:8" s="1704" customFormat="1" ht="12">
      <c r="B83" s="1705"/>
      <c r="C83" s="1702"/>
      <c r="D83" s="1702" t="s">
        <v>2020</v>
      </c>
      <c r="E83" s="1691">
        <v>4203430</v>
      </c>
      <c r="F83" s="1706"/>
      <c r="G83" s="1714"/>
      <c r="H83" s="1693"/>
    </row>
    <row r="84" spans="2:8" s="1704" customFormat="1" ht="12">
      <c r="B84" s="1705"/>
      <c r="C84" s="1702"/>
      <c r="D84" s="1702" t="s">
        <v>2021</v>
      </c>
      <c r="E84" s="1691">
        <v>17800000</v>
      </c>
      <c r="F84" s="1706"/>
      <c r="G84" s="1714"/>
      <c r="H84" s="1693"/>
    </row>
    <row r="85" spans="2:8" s="1704" customFormat="1" ht="12">
      <c r="B85" s="1705"/>
      <c r="C85" s="1702"/>
      <c r="D85" s="1702" t="s">
        <v>2021</v>
      </c>
      <c r="E85" s="1691">
        <v>13200000</v>
      </c>
      <c r="F85" s="1706"/>
      <c r="G85" s="1714"/>
      <c r="H85" s="1693"/>
    </row>
    <row r="86" spans="2:8" s="1704" customFormat="1" ht="12">
      <c r="B86" s="1705"/>
      <c r="C86" s="1702"/>
      <c r="D86" s="1702" t="s">
        <v>2021</v>
      </c>
      <c r="E86" s="1691">
        <v>14900000</v>
      </c>
      <c r="F86" s="1706"/>
      <c r="G86" s="1714"/>
      <c r="H86" s="1693"/>
    </row>
    <row r="87" spans="2:8" s="1704" customFormat="1" ht="12">
      <c r="B87" s="1705"/>
      <c r="C87" s="1702"/>
      <c r="D87" s="1702" t="s">
        <v>2022</v>
      </c>
      <c r="E87" s="1691">
        <v>28050000</v>
      </c>
      <c r="F87" s="1706"/>
      <c r="G87" s="1714"/>
      <c r="H87" s="1693"/>
    </row>
    <row r="88" spans="2:8" s="1704" customFormat="1" ht="12">
      <c r="B88" s="1705"/>
      <c r="C88" s="1702"/>
      <c r="D88" s="1702" t="s">
        <v>2023</v>
      </c>
      <c r="E88" s="1691">
        <v>2137500</v>
      </c>
      <c r="F88" s="1706"/>
      <c r="G88" s="1714"/>
      <c r="H88" s="1693"/>
    </row>
    <row r="89" spans="2:8" s="1704" customFormat="1" ht="12">
      <c r="B89" s="1705"/>
      <c r="C89" s="1702"/>
      <c r="D89" s="1702" t="s">
        <v>2023</v>
      </c>
      <c r="E89" s="1691">
        <v>4800000</v>
      </c>
      <c r="F89" s="1706"/>
      <c r="G89" s="1714"/>
      <c r="H89" s="1693"/>
    </row>
    <row r="90" spans="2:8" s="1704" customFormat="1" ht="12">
      <c r="B90" s="1705"/>
      <c r="C90" s="1702"/>
      <c r="D90" s="1702" t="s">
        <v>2024</v>
      </c>
      <c r="E90" s="1691">
        <v>1100000</v>
      </c>
      <c r="F90" s="1706"/>
      <c r="G90" s="1714"/>
      <c r="H90" s="1693"/>
    </row>
    <row r="91" spans="2:8" s="1704" customFormat="1" ht="12">
      <c r="B91" s="1705"/>
      <c r="C91" s="1702"/>
      <c r="D91" s="1702" t="s">
        <v>2025</v>
      </c>
      <c r="E91" s="1691">
        <v>4850000</v>
      </c>
      <c r="F91" s="1706"/>
      <c r="G91" s="1714"/>
      <c r="H91" s="1693"/>
    </row>
    <row r="92" spans="2:8" s="1704" customFormat="1" ht="12">
      <c r="B92" s="1705"/>
      <c r="C92" s="1702"/>
      <c r="D92" s="1702" t="s">
        <v>2026</v>
      </c>
      <c r="E92" s="1691">
        <v>25779600</v>
      </c>
      <c r="F92" s="1706"/>
      <c r="G92" s="1714"/>
      <c r="H92" s="1693"/>
    </row>
    <row r="93" spans="2:8" s="1704" customFormat="1" ht="12">
      <c r="B93" s="1705"/>
      <c r="C93" s="1702"/>
      <c r="D93" s="1702" t="s">
        <v>2026</v>
      </c>
      <c r="E93" s="1691">
        <v>1500000</v>
      </c>
      <c r="F93" s="1706"/>
      <c r="G93" s="1714"/>
      <c r="H93" s="1693"/>
    </row>
    <row r="94" spans="2:8" s="1704" customFormat="1" ht="12">
      <c r="B94" s="1705"/>
      <c r="C94" s="1702"/>
      <c r="D94" s="1702" t="s">
        <v>2010</v>
      </c>
      <c r="E94" s="1691">
        <v>2163700</v>
      </c>
      <c r="F94" s="1706"/>
      <c r="G94" s="1714"/>
      <c r="H94" s="1693"/>
    </row>
    <row r="95" spans="2:8" s="1704" customFormat="1" ht="12">
      <c r="B95" s="1705"/>
      <c r="C95" s="1702"/>
      <c r="D95" s="1702" t="s">
        <v>2027</v>
      </c>
      <c r="E95" s="1691">
        <v>3900000</v>
      </c>
      <c r="F95" s="1706"/>
      <c r="G95" s="1714"/>
      <c r="H95" s="1693"/>
    </row>
    <row r="96" spans="2:8" s="1704" customFormat="1" ht="12">
      <c r="B96" s="1705"/>
      <c r="C96" s="1702"/>
      <c r="D96" s="1702" t="s">
        <v>2027</v>
      </c>
      <c r="E96" s="1691">
        <v>3300000</v>
      </c>
      <c r="F96" s="1706"/>
      <c r="G96" s="1714"/>
      <c r="H96" s="1693"/>
    </row>
    <row r="97" spans="2:8" s="1704" customFormat="1" ht="12">
      <c r="B97" s="1705"/>
      <c r="C97" s="1702"/>
      <c r="D97" s="1702" t="s">
        <v>2028</v>
      </c>
      <c r="E97" s="1691">
        <v>10800000</v>
      </c>
      <c r="F97" s="1706"/>
      <c r="G97" s="1714"/>
      <c r="H97" s="1693"/>
    </row>
    <row r="98" spans="2:8" s="1704" customFormat="1" ht="12">
      <c r="B98" s="1705"/>
      <c r="C98" s="1702"/>
      <c r="D98" s="1702" t="s">
        <v>2028</v>
      </c>
      <c r="E98" s="1691">
        <v>11737220</v>
      </c>
      <c r="F98" s="1706"/>
      <c r="G98" s="1714"/>
      <c r="H98" s="1693"/>
    </row>
    <row r="99" spans="2:8" s="1704" customFormat="1" ht="12">
      <c r="B99" s="1705"/>
      <c r="C99" s="1702"/>
      <c r="D99" s="1702" t="s">
        <v>2029</v>
      </c>
      <c r="E99" s="1691">
        <v>28122031</v>
      </c>
      <c r="F99" s="1706"/>
      <c r="G99" s="1714"/>
      <c r="H99" s="1693"/>
    </row>
    <row r="100" spans="2:8" s="1704" customFormat="1" ht="12">
      <c r="B100" s="1705"/>
      <c r="C100" s="1702"/>
      <c r="D100" s="1702" t="s">
        <v>2030</v>
      </c>
      <c r="E100" s="1691">
        <v>1153680</v>
      </c>
      <c r="F100" s="1706"/>
      <c r="G100" s="1714"/>
      <c r="H100" s="1693"/>
    </row>
    <row r="101" spans="2:8" s="1704" customFormat="1" ht="12">
      <c r="B101" s="1705"/>
      <c r="C101" s="1702"/>
      <c r="D101" s="1702" t="s">
        <v>2031</v>
      </c>
      <c r="E101" s="1691">
        <v>2187000</v>
      </c>
      <c r="F101" s="1706"/>
      <c r="G101" s="1714"/>
      <c r="H101" s="1693"/>
    </row>
    <row r="102" spans="2:8" s="1704" customFormat="1" ht="12">
      <c r="B102" s="1705"/>
      <c r="C102" s="1702"/>
      <c r="D102" s="1702" t="s">
        <v>2032</v>
      </c>
      <c r="E102" s="1691">
        <v>4935260</v>
      </c>
      <c r="F102" s="1706"/>
      <c r="G102" s="1714"/>
      <c r="H102" s="1693"/>
    </row>
    <row r="103" spans="2:8" s="1704" customFormat="1" ht="12">
      <c r="B103" s="1705"/>
      <c r="C103" s="1702"/>
      <c r="D103" s="1702" t="s">
        <v>2033</v>
      </c>
      <c r="E103" s="1691">
        <v>27468430</v>
      </c>
      <c r="F103" s="1706"/>
      <c r="G103" s="1714"/>
      <c r="H103" s="1693"/>
    </row>
    <row r="104" spans="2:8" s="1704" customFormat="1" ht="12">
      <c r="B104" s="1705"/>
      <c r="C104" s="1702"/>
      <c r="D104" s="1702" t="s">
        <v>2034</v>
      </c>
      <c r="E104" s="1691">
        <v>1596650</v>
      </c>
      <c r="F104" s="1706"/>
      <c r="G104" s="1714"/>
      <c r="H104" s="1693"/>
    </row>
    <row r="105" spans="2:8" s="1704" customFormat="1" ht="12">
      <c r="B105" s="1705"/>
      <c r="C105" s="1702"/>
      <c r="D105" s="1702" t="s">
        <v>2035</v>
      </c>
      <c r="E105" s="1691">
        <v>113700000</v>
      </c>
      <c r="F105" s="1706"/>
      <c r="G105" s="1714"/>
      <c r="H105" s="1693"/>
    </row>
    <row r="106" spans="2:8" s="1704" customFormat="1" ht="12">
      <c r="B106" s="1705"/>
      <c r="C106" s="1702"/>
      <c r="D106" s="1702" t="s">
        <v>2036</v>
      </c>
      <c r="E106" s="1691">
        <v>2344568000</v>
      </c>
      <c r="F106" s="1706"/>
      <c r="G106" s="1714"/>
      <c r="H106" s="1693"/>
    </row>
    <row r="107" spans="2:8" s="1704" customFormat="1" ht="12">
      <c r="B107" s="1705"/>
      <c r="C107" s="1702"/>
      <c r="D107" s="1702" t="s">
        <v>1998</v>
      </c>
      <c r="E107" s="1691">
        <v>22202100</v>
      </c>
      <c r="F107" s="1706"/>
      <c r="G107" s="1714"/>
      <c r="H107" s="1693"/>
    </row>
    <row r="108" spans="2:8" s="1704" customFormat="1" ht="12">
      <c r="B108" s="1705"/>
      <c r="C108" s="1702"/>
      <c r="D108" s="1702" t="s">
        <v>1998</v>
      </c>
      <c r="E108" s="1691">
        <v>26207500</v>
      </c>
      <c r="F108" s="1706"/>
      <c r="G108" s="1714"/>
      <c r="H108" s="1693"/>
    </row>
    <row r="109" spans="2:8" s="1704" customFormat="1" ht="12">
      <c r="B109" s="1705"/>
      <c r="C109" s="1702"/>
      <c r="D109" s="1702" t="s">
        <v>1998</v>
      </c>
      <c r="E109" s="1691">
        <v>3375000</v>
      </c>
      <c r="F109" s="1706"/>
      <c r="G109" s="1714"/>
      <c r="H109" s="1693"/>
    </row>
    <row r="110" spans="2:8" s="1704" customFormat="1" ht="12">
      <c r="B110" s="1705"/>
      <c r="C110" s="1702"/>
      <c r="D110" s="1702" t="s">
        <v>1998</v>
      </c>
      <c r="E110" s="1691">
        <v>3375000</v>
      </c>
      <c r="F110" s="1706"/>
      <c r="G110" s="1714"/>
      <c r="H110" s="1693"/>
    </row>
    <row r="111" spans="2:8" s="1704" customFormat="1" ht="12">
      <c r="B111" s="1705"/>
      <c r="C111" s="1702"/>
      <c r="D111" s="1702" t="s">
        <v>2009</v>
      </c>
      <c r="E111" s="1691">
        <v>2300000</v>
      </c>
      <c r="F111" s="1706"/>
      <c r="G111" s="1714"/>
      <c r="H111" s="1693"/>
    </row>
    <row r="112" spans="2:8" s="1704" customFormat="1" ht="12">
      <c r="B112" s="1705"/>
      <c r="C112" s="1702"/>
      <c r="D112" s="1702" t="s">
        <v>2009</v>
      </c>
      <c r="E112" s="1691">
        <v>1925000</v>
      </c>
      <c r="F112" s="1706"/>
      <c r="G112" s="1714"/>
      <c r="H112" s="1693"/>
    </row>
    <row r="113" spans="2:8" s="1704" customFormat="1" ht="12">
      <c r="B113" s="1705"/>
      <c r="C113" s="1702"/>
      <c r="D113" s="1702" t="s">
        <v>2009</v>
      </c>
      <c r="E113" s="1691">
        <v>1925000</v>
      </c>
      <c r="F113" s="1706"/>
      <c r="G113" s="1714"/>
      <c r="H113" s="1693"/>
    </row>
    <row r="114" spans="2:8" s="1704" customFormat="1" ht="12">
      <c r="B114" s="1705"/>
      <c r="C114" s="1702"/>
      <c r="D114" s="1702" t="s">
        <v>2037</v>
      </c>
      <c r="E114" s="1691">
        <v>1975050</v>
      </c>
      <c r="F114" s="1706"/>
      <c r="G114" s="1714"/>
      <c r="H114" s="1693"/>
    </row>
    <row r="115" spans="2:8" s="1704" customFormat="1" ht="12">
      <c r="B115" s="1705"/>
      <c r="C115" s="1702"/>
      <c r="D115" s="1702" t="s">
        <v>2038</v>
      </c>
      <c r="E115" s="1691">
        <v>9069500</v>
      </c>
      <c r="F115" s="1706"/>
      <c r="G115" s="1714"/>
      <c r="H115" s="1693"/>
    </row>
    <row r="116" spans="2:8" s="1704" customFormat="1" ht="12">
      <c r="B116" s="1705"/>
      <c r="C116" s="1702"/>
      <c r="D116" s="1702" t="s">
        <v>2039</v>
      </c>
      <c r="E116" s="1691">
        <v>4400000</v>
      </c>
      <c r="F116" s="1706"/>
      <c r="G116" s="1714"/>
      <c r="H116" s="1693"/>
    </row>
    <row r="117" spans="2:8" s="1704" customFormat="1" ht="12">
      <c r="B117" s="1705"/>
      <c r="C117" s="1702"/>
      <c r="D117" s="1702" t="s">
        <v>2019</v>
      </c>
      <c r="E117" s="1691">
        <v>8800000</v>
      </c>
      <c r="F117" s="1706"/>
      <c r="G117" s="1714"/>
      <c r="H117" s="1693"/>
    </row>
    <row r="118" spans="2:8" s="1704" customFormat="1" ht="12">
      <c r="B118" s="1705"/>
      <c r="C118" s="1702"/>
      <c r="D118" s="1702" t="s">
        <v>2019</v>
      </c>
      <c r="E118" s="1691">
        <v>24900000</v>
      </c>
      <c r="F118" s="1706"/>
      <c r="G118" s="1714"/>
      <c r="H118" s="1693"/>
    </row>
    <row r="119" spans="2:8" s="1704" customFormat="1" ht="12">
      <c r="B119" s="1705"/>
      <c r="C119" s="1702"/>
      <c r="D119" s="1702" t="s">
        <v>2019</v>
      </c>
      <c r="E119" s="1691">
        <v>4400000</v>
      </c>
      <c r="F119" s="1706"/>
      <c r="G119" s="1714"/>
      <c r="H119" s="1693"/>
    </row>
    <row r="120" spans="2:8" s="1704" customFormat="1" ht="12">
      <c r="B120" s="1705"/>
      <c r="C120" s="1702"/>
      <c r="D120" s="1702" t="s">
        <v>2020</v>
      </c>
      <c r="E120" s="1691">
        <v>10125000</v>
      </c>
      <c r="F120" s="1706"/>
      <c r="G120" s="1714"/>
      <c r="H120" s="1693"/>
    </row>
    <row r="121" spans="2:8" s="1704" customFormat="1" ht="12">
      <c r="B121" s="1705"/>
      <c r="C121" s="1702"/>
      <c r="D121" s="1702" t="s">
        <v>2020</v>
      </c>
      <c r="E121" s="1691">
        <v>10125000</v>
      </c>
      <c r="F121" s="1706"/>
      <c r="G121" s="1714"/>
      <c r="H121" s="1693"/>
    </row>
    <row r="122" spans="2:8" s="1704" customFormat="1" ht="12">
      <c r="B122" s="1705"/>
      <c r="C122" s="1702"/>
      <c r="D122" s="1702" t="s">
        <v>2020</v>
      </c>
      <c r="E122" s="1691">
        <v>10395000</v>
      </c>
      <c r="F122" s="1706"/>
      <c r="G122" s="1714"/>
      <c r="H122" s="1693"/>
    </row>
    <row r="123" spans="2:8" s="1704" customFormat="1" ht="12">
      <c r="B123" s="1705"/>
      <c r="C123" s="1702"/>
      <c r="D123" s="1702" t="s">
        <v>2020</v>
      </c>
      <c r="E123" s="1691">
        <v>10395000</v>
      </c>
      <c r="F123" s="1706"/>
      <c r="G123" s="1714"/>
      <c r="H123" s="1693"/>
    </row>
    <row r="124" spans="2:8" s="1704" customFormat="1" ht="12">
      <c r="B124" s="1705"/>
      <c r="C124" s="1702"/>
      <c r="D124" s="1702" t="s">
        <v>2022</v>
      </c>
      <c r="E124" s="1691">
        <v>10692000</v>
      </c>
      <c r="F124" s="1706"/>
      <c r="G124" s="1714"/>
      <c r="H124" s="1693"/>
    </row>
    <row r="125" spans="2:8" s="1704" customFormat="1" ht="12">
      <c r="B125" s="1705"/>
      <c r="C125" s="1702"/>
      <c r="D125" s="1702" t="s">
        <v>2023</v>
      </c>
      <c r="E125" s="1691">
        <v>5400000</v>
      </c>
      <c r="F125" s="1706"/>
      <c r="G125" s="1714"/>
      <c r="H125" s="1693"/>
    </row>
    <row r="126" spans="2:8" s="1704" customFormat="1" ht="12">
      <c r="B126" s="1705"/>
      <c r="C126" s="1702"/>
      <c r="D126" s="1702" t="s">
        <v>2023</v>
      </c>
      <c r="E126" s="1691">
        <v>5550000</v>
      </c>
      <c r="F126" s="1706"/>
      <c r="G126" s="1714"/>
      <c r="H126" s="1693"/>
    </row>
    <row r="127" spans="2:8" s="1704" customFormat="1" ht="12">
      <c r="B127" s="1705"/>
      <c r="C127" s="1702"/>
      <c r="D127" s="1702" t="s">
        <v>2023</v>
      </c>
      <c r="E127" s="1691">
        <v>1650000</v>
      </c>
      <c r="F127" s="1706"/>
      <c r="G127" s="1714"/>
      <c r="H127" s="1693"/>
    </row>
    <row r="128" spans="2:8" s="1704" customFormat="1" ht="12">
      <c r="B128" s="1705"/>
      <c r="C128" s="1702"/>
      <c r="D128" s="1702" t="s">
        <v>2023</v>
      </c>
      <c r="E128" s="1691">
        <v>1577969</v>
      </c>
      <c r="F128" s="1706"/>
      <c r="G128" s="1714"/>
      <c r="H128" s="1693"/>
    </row>
    <row r="129" spans="2:8" s="1704" customFormat="1" ht="12">
      <c r="B129" s="1705"/>
      <c r="C129" s="1702"/>
      <c r="D129" s="1702" t="s">
        <v>2024</v>
      </c>
      <c r="E129" s="1691">
        <v>1925000</v>
      </c>
      <c r="F129" s="1706"/>
      <c r="G129" s="1714"/>
      <c r="H129" s="1693"/>
    </row>
    <row r="130" spans="2:8" s="1704" customFormat="1" ht="12">
      <c r="B130" s="1705"/>
      <c r="C130" s="1702"/>
      <c r="D130" s="1702" t="s">
        <v>2040</v>
      </c>
      <c r="E130" s="1691">
        <v>4500000</v>
      </c>
      <c r="F130" s="1706"/>
      <c r="G130" s="1714"/>
      <c r="H130" s="1693"/>
    </row>
    <row r="131" spans="2:8" s="1704" customFormat="1" ht="12">
      <c r="B131" s="1705"/>
      <c r="C131" s="1702"/>
      <c r="D131" s="1702" t="s">
        <v>2041</v>
      </c>
      <c r="E131" s="1691">
        <v>1052700</v>
      </c>
      <c r="F131" s="1706"/>
      <c r="G131" s="1714"/>
      <c r="H131" s="1693"/>
    </row>
    <row r="132" spans="2:8" s="1704" customFormat="1" ht="12">
      <c r="B132" s="1705"/>
      <c r="C132" s="1702"/>
      <c r="D132" s="1702" t="s">
        <v>2026</v>
      </c>
      <c r="E132" s="1691">
        <v>2000000</v>
      </c>
      <c r="F132" s="1706"/>
      <c r="G132" s="1714"/>
      <c r="H132" s="1693"/>
    </row>
    <row r="133" spans="2:8" s="1704" customFormat="1" ht="12">
      <c r="B133" s="1705"/>
      <c r="C133" s="1702"/>
      <c r="D133" s="1702" t="s">
        <v>2026</v>
      </c>
      <c r="E133" s="1691">
        <v>2000000</v>
      </c>
      <c r="F133" s="1706"/>
      <c r="G133" s="1714"/>
      <c r="H133" s="1693"/>
    </row>
    <row r="134" spans="2:8" s="1704" customFormat="1" ht="12">
      <c r="B134" s="1705"/>
      <c r="C134" s="1702"/>
      <c r="D134" s="1702" t="s">
        <v>2042</v>
      </c>
      <c r="E134" s="1691">
        <v>41800000</v>
      </c>
      <c r="F134" s="1706"/>
      <c r="G134" s="1714"/>
      <c r="H134" s="1693"/>
    </row>
    <row r="135" spans="2:8" s="1704" customFormat="1" ht="12">
      <c r="B135" s="1705"/>
      <c r="C135" s="1702"/>
      <c r="D135" s="1702" t="s">
        <v>2023</v>
      </c>
      <c r="E135" s="1691">
        <v>5000000</v>
      </c>
      <c r="F135" s="1706"/>
      <c r="G135" s="1714"/>
      <c r="H135" s="1693"/>
    </row>
    <row r="136" spans="2:8" s="1704" customFormat="1" ht="12">
      <c r="B136" s="1705"/>
      <c r="C136" s="1702"/>
      <c r="D136" s="1702" t="s">
        <v>2043</v>
      </c>
      <c r="E136" s="1691">
        <v>10900000</v>
      </c>
      <c r="F136" s="1706"/>
      <c r="G136" s="1714"/>
      <c r="H136" s="1693"/>
    </row>
    <row r="137" spans="2:8" s="1704" customFormat="1" ht="12">
      <c r="B137" s="1705"/>
      <c r="C137" s="1702"/>
      <c r="D137" s="1702" t="s">
        <v>2027</v>
      </c>
      <c r="E137" s="1691">
        <v>3681750</v>
      </c>
      <c r="F137" s="1706"/>
      <c r="G137" s="1714"/>
      <c r="H137" s="1693"/>
    </row>
    <row r="138" spans="2:8" s="1704" customFormat="1" ht="12">
      <c r="B138" s="1705"/>
      <c r="C138" s="1702"/>
      <c r="D138" s="1702" t="s">
        <v>2044</v>
      </c>
      <c r="E138" s="1691">
        <v>519640</v>
      </c>
      <c r="F138" s="1706"/>
      <c r="G138" s="1714"/>
      <c r="H138" s="1693"/>
    </row>
    <row r="139" spans="2:8" s="1704" customFormat="1" ht="12">
      <c r="B139" s="1705"/>
      <c r="C139" s="1702"/>
      <c r="D139" s="1702" t="s">
        <v>2044</v>
      </c>
      <c r="E139" s="1691">
        <v>519640</v>
      </c>
      <c r="F139" s="1706"/>
      <c r="G139" s="1714"/>
      <c r="H139" s="1693"/>
    </row>
    <row r="140" spans="2:8" s="1704" customFormat="1" ht="12">
      <c r="B140" s="1705"/>
      <c r="C140" s="1702"/>
      <c r="D140" s="1702" t="s">
        <v>2005</v>
      </c>
      <c r="E140" s="1691">
        <v>564080</v>
      </c>
      <c r="F140" s="1706"/>
      <c r="G140" s="1714"/>
      <c r="H140" s="1693"/>
    </row>
    <row r="141" spans="2:8" s="1704" customFormat="1" ht="12">
      <c r="B141" s="1705"/>
      <c r="C141" s="1702"/>
      <c r="D141" s="1702" t="s">
        <v>2005</v>
      </c>
      <c r="E141" s="1691">
        <v>1188000</v>
      </c>
      <c r="F141" s="1706"/>
      <c r="G141" s="1714"/>
      <c r="H141" s="1693"/>
    </row>
    <row r="142" spans="2:8" s="1704" customFormat="1" ht="12">
      <c r="B142" s="1705"/>
      <c r="C142" s="1702"/>
      <c r="D142" s="1702" t="s">
        <v>2005</v>
      </c>
      <c r="E142" s="1691">
        <v>1058640</v>
      </c>
      <c r="F142" s="1706"/>
      <c r="G142" s="1714"/>
      <c r="H142" s="1693"/>
    </row>
    <row r="143" spans="2:8" s="1704" customFormat="1" ht="12">
      <c r="B143" s="1705"/>
      <c r="C143" s="1702"/>
      <c r="D143" s="1702" t="s">
        <v>2005</v>
      </c>
      <c r="E143" s="1691">
        <v>494560</v>
      </c>
      <c r="F143" s="1706"/>
      <c r="G143" s="1714"/>
      <c r="H143" s="1693"/>
    </row>
    <row r="144" spans="2:8" s="1704" customFormat="1" ht="12">
      <c r="B144" s="1705"/>
      <c r="C144" s="1702"/>
      <c r="D144" s="1702" t="s">
        <v>2005</v>
      </c>
      <c r="E144" s="1691">
        <v>1236400</v>
      </c>
      <c r="F144" s="1706"/>
      <c r="G144" s="1714"/>
      <c r="H144" s="1693"/>
    </row>
    <row r="145" spans="2:8" s="1704" customFormat="1" ht="12">
      <c r="B145" s="1705"/>
      <c r="C145" s="1702"/>
      <c r="D145" s="1702" t="s">
        <v>2005</v>
      </c>
      <c r="E145" s="1691">
        <v>678370</v>
      </c>
      <c r="F145" s="1706"/>
      <c r="G145" s="1714"/>
      <c r="H145" s="1693"/>
    </row>
    <row r="146" spans="2:8" s="1704" customFormat="1" ht="12">
      <c r="B146" s="1705"/>
      <c r="C146" s="1702"/>
      <c r="D146" s="1702" t="s">
        <v>2005</v>
      </c>
      <c r="E146" s="1691">
        <v>958320</v>
      </c>
      <c r="F146" s="1706"/>
      <c r="G146" s="1714"/>
      <c r="H146" s="1693"/>
    </row>
    <row r="147" spans="2:8" s="1704" customFormat="1" ht="12">
      <c r="B147" s="1705"/>
      <c r="C147" s="1702"/>
      <c r="D147" s="1702" t="s">
        <v>2005</v>
      </c>
      <c r="E147" s="1691">
        <v>6327200</v>
      </c>
      <c r="F147" s="1706"/>
      <c r="G147" s="1714"/>
      <c r="H147" s="1693"/>
    </row>
    <row r="148" spans="2:8" s="1704" customFormat="1" ht="12">
      <c r="B148" s="1705"/>
      <c r="C148" s="1702"/>
      <c r="D148" s="1702" t="s">
        <v>2005</v>
      </c>
      <c r="E148" s="1691">
        <v>96910</v>
      </c>
      <c r="F148" s="1706"/>
      <c r="G148" s="1714"/>
      <c r="H148" s="1693"/>
    </row>
    <row r="149" spans="2:8" s="1704" customFormat="1" ht="12">
      <c r="B149" s="1705"/>
      <c r="C149" s="1702"/>
      <c r="D149" s="1702" t="s">
        <v>2045</v>
      </c>
      <c r="E149" s="1691">
        <v>564080</v>
      </c>
      <c r="F149" s="1706"/>
      <c r="G149" s="1714"/>
      <c r="H149" s="1693"/>
    </row>
    <row r="150" spans="2:8" s="1704" customFormat="1" ht="12">
      <c r="B150" s="1705"/>
      <c r="C150" s="1702"/>
      <c r="D150" s="1702" t="s">
        <v>2012</v>
      </c>
      <c r="E150" s="1691">
        <v>700000</v>
      </c>
      <c r="F150" s="1706"/>
      <c r="G150" s="1714"/>
      <c r="H150" s="1693"/>
    </row>
    <row r="151" spans="2:8" s="1704" customFormat="1" ht="12">
      <c r="B151" s="1705"/>
      <c r="C151" s="1702"/>
      <c r="D151" s="1702" t="s">
        <v>2012</v>
      </c>
      <c r="E151" s="1691">
        <v>700000</v>
      </c>
      <c r="F151" s="1706"/>
      <c r="G151" s="1714"/>
      <c r="H151" s="1693"/>
    </row>
    <row r="152" spans="2:8" s="1704" customFormat="1" ht="12">
      <c r="B152" s="1705"/>
      <c r="C152" s="1702"/>
      <c r="D152" s="1702" t="s">
        <v>2046</v>
      </c>
      <c r="E152" s="1691">
        <v>572000</v>
      </c>
      <c r="F152" s="1706"/>
      <c r="G152" s="1714"/>
      <c r="H152" s="1693"/>
    </row>
    <row r="153" spans="2:8" s="1704" customFormat="1" ht="12">
      <c r="B153" s="1705"/>
      <c r="C153" s="1702"/>
      <c r="D153" s="1702" t="s">
        <v>2046</v>
      </c>
      <c r="E153" s="1691">
        <v>519640</v>
      </c>
      <c r="F153" s="1706"/>
      <c r="G153" s="1714"/>
      <c r="H153" s="1693"/>
    </row>
    <row r="154" spans="2:8" s="1704" customFormat="1" ht="12">
      <c r="B154" s="1705"/>
      <c r="C154" s="1702"/>
      <c r="D154" s="1702" t="s">
        <v>2047</v>
      </c>
      <c r="E154" s="1691">
        <v>593890</v>
      </c>
      <c r="F154" s="1706"/>
      <c r="G154" s="1714"/>
      <c r="H154" s="1693"/>
    </row>
    <row r="155" spans="2:8" s="1704" customFormat="1" ht="12">
      <c r="B155" s="1705"/>
      <c r="C155" s="1702"/>
      <c r="D155" s="1702" t="s">
        <v>2047</v>
      </c>
      <c r="E155" s="1691">
        <v>593890</v>
      </c>
      <c r="F155" s="1706"/>
      <c r="G155" s="1714"/>
      <c r="H155" s="1693"/>
    </row>
    <row r="156" spans="2:8" s="1704" customFormat="1" ht="12">
      <c r="B156" s="1705"/>
      <c r="C156" s="1702"/>
      <c r="D156" s="1702" t="s">
        <v>2048</v>
      </c>
      <c r="E156" s="1691">
        <v>4050000</v>
      </c>
      <c r="F156" s="1706"/>
      <c r="G156" s="1714"/>
      <c r="H156" s="1693"/>
    </row>
    <row r="157" spans="2:8" s="1704" customFormat="1" ht="12">
      <c r="B157" s="1705"/>
      <c r="C157" s="1702"/>
      <c r="D157" s="1702" t="s">
        <v>2048</v>
      </c>
      <c r="E157" s="1691">
        <v>450000</v>
      </c>
      <c r="F157" s="1706"/>
      <c r="G157" s="1714"/>
      <c r="H157" s="1693"/>
    </row>
    <row r="158" spans="2:8" s="1704" customFormat="1" ht="12">
      <c r="B158" s="1705"/>
      <c r="C158" s="1702"/>
      <c r="D158" s="1702" t="s">
        <v>2048</v>
      </c>
      <c r="E158" s="1691">
        <v>4664000</v>
      </c>
      <c r="F158" s="1706"/>
      <c r="G158" s="1714"/>
      <c r="H158" s="1693"/>
    </row>
    <row r="159" spans="2:8" s="1704" customFormat="1" ht="12">
      <c r="B159" s="1705"/>
      <c r="C159" s="1702"/>
      <c r="D159" s="1702" t="s">
        <v>2048</v>
      </c>
      <c r="E159" s="1691">
        <v>579040</v>
      </c>
      <c r="F159" s="1706"/>
      <c r="G159" s="1714"/>
      <c r="H159" s="1693"/>
    </row>
    <row r="160" spans="2:8" s="1704" customFormat="1" ht="12">
      <c r="B160" s="1705"/>
      <c r="C160" s="1702"/>
      <c r="D160" s="1702" t="s">
        <v>2048</v>
      </c>
      <c r="E160" s="1691">
        <v>6124800</v>
      </c>
      <c r="F160" s="1706"/>
      <c r="G160" s="1714"/>
      <c r="H160" s="1693"/>
    </row>
    <row r="161" spans="2:8" s="1704" customFormat="1" ht="12">
      <c r="B161" s="1705"/>
      <c r="C161" s="1702"/>
      <c r="D161" s="1702" t="s">
        <v>2048</v>
      </c>
      <c r="E161" s="1691">
        <v>408320</v>
      </c>
      <c r="F161" s="1706"/>
      <c r="G161" s="1714"/>
      <c r="H161" s="1693"/>
    </row>
    <row r="162" spans="2:8" s="1704" customFormat="1" ht="12">
      <c r="B162" s="1705"/>
      <c r="C162" s="1702"/>
      <c r="D162" s="1702" t="s">
        <v>2048</v>
      </c>
      <c r="E162" s="1691">
        <v>289520</v>
      </c>
      <c r="F162" s="1706"/>
      <c r="G162" s="1714"/>
      <c r="H162" s="1693"/>
    </row>
    <row r="163" spans="2:8" s="1704" customFormat="1" ht="12">
      <c r="B163" s="1705"/>
      <c r="C163" s="1702"/>
      <c r="D163" s="1702" t="s">
        <v>2048</v>
      </c>
      <c r="E163" s="1691">
        <v>289520</v>
      </c>
      <c r="F163" s="1706"/>
      <c r="G163" s="1714"/>
      <c r="H163" s="1693"/>
    </row>
    <row r="164" spans="2:8" s="1704" customFormat="1" ht="12">
      <c r="B164" s="1705"/>
      <c r="C164" s="1702"/>
      <c r="D164" s="1702" t="s">
        <v>2037</v>
      </c>
      <c r="E164" s="1691">
        <v>2100000</v>
      </c>
      <c r="F164" s="1706"/>
      <c r="G164" s="1714"/>
      <c r="H164" s="1693"/>
    </row>
    <row r="165" spans="2:8" s="1704" customFormat="1" ht="12">
      <c r="B165" s="1705"/>
      <c r="C165" s="1702"/>
      <c r="D165" s="1702" t="s">
        <v>2037</v>
      </c>
      <c r="E165" s="1691">
        <v>2475000</v>
      </c>
      <c r="F165" s="1706"/>
      <c r="G165" s="1714"/>
      <c r="H165" s="1693"/>
    </row>
    <row r="166" spans="2:8" s="1704" customFormat="1" ht="12">
      <c r="B166" s="1705"/>
      <c r="C166" s="1702"/>
      <c r="D166" s="1702" t="s">
        <v>2049</v>
      </c>
      <c r="E166" s="1691">
        <v>1500000</v>
      </c>
      <c r="F166" s="1706"/>
      <c r="G166" s="1714"/>
      <c r="H166" s="1693"/>
    </row>
    <row r="167" spans="2:8" s="1704" customFormat="1" ht="12">
      <c r="B167" s="1705"/>
      <c r="C167" s="1702"/>
      <c r="D167" s="1702" t="s">
        <v>2049</v>
      </c>
      <c r="E167" s="1691">
        <v>500000</v>
      </c>
      <c r="F167" s="1706"/>
      <c r="G167" s="1714"/>
      <c r="H167" s="1693"/>
    </row>
    <row r="168" spans="2:8" s="1704" customFormat="1" ht="12">
      <c r="B168" s="1705"/>
      <c r="C168" s="1702"/>
      <c r="D168" s="1702" t="s">
        <v>2049</v>
      </c>
      <c r="E168" s="1691">
        <v>500000</v>
      </c>
      <c r="F168" s="1706"/>
      <c r="G168" s="1714"/>
      <c r="H168" s="1693"/>
    </row>
    <row r="169" spans="2:8" s="1704" customFormat="1" ht="12">
      <c r="B169" s="1705"/>
      <c r="C169" s="1702"/>
      <c r="D169" s="1702" t="s">
        <v>2049</v>
      </c>
      <c r="E169" s="1691">
        <v>500000</v>
      </c>
      <c r="F169" s="1706"/>
      <c r="G169" s="1714"/>
      <c r="H169" s="1693"/>
    </row>
    <row r="170" spans="2:8" s="1704" customFormat="1" ht="12">
      <c r="B170" s="1705"/>
      <c r="C170" s="1702"/>
      <c r="D170" s="1702" t="s">
        <v>2050</v>
      </c>
      <c r="E170" s="1691">
        <v>3841640</v>
      </c>
      <c r="F170" s="1706"/>
      <c r="G170" s="1714"/>
      <c r="H170" s="1693"/>
    </row>
    <row r="171" spans="2:8" s="1704" customFormat="1" ht="12">
      <c r="B171" s="1705"/>
      <c r="C171" s="1702"/>
      <c r="D171" s="1702" t="s">
        <v>2051</v>
      </c>
      <c r="E171" s="1691">
        <v>438020</v>
      </c>
      <c r="F171" s="1706"/>
      <c r="G171" s="1714"/>
      <c r="H171" s="1693"/>
    </row>
    <row r="172" spans="2:8" s="1704" customFormat="1" ht="12">
      <c r="B172" s="1705"/>
      <c r="C172" s="1702"/>
      <c r="D172" s="1702" t="s">
        <v>2023</v>
      </c>
      <c r="E172" s="1691">
        <v>902500</v>
      </c>
      <c r="F172" s="1706"/>
      <c r="G172" s="1714"/>
      <c r="H172" s="1693"/>
    </row>
    <row r="173" spans="2:8" s="1704" customFormat="1" ht="12">
      <c r="B173" s="1705"/>
      <c r="C173" s="1702"/>
      <c r="D173" s="1702" t="s">
        <v>2040</v>
      </c>
      <c r="E173" s="1691">
        <v>5197500</v>
      </c>
      <c r="F173" s="1706"/>
      <c r="G173" s="1714"/>
      <c r="H173" s="1693"/>
    </row>
    <row r="174" spans="2:8" s="1704" customFormat="1" ht="12">
      <c r="B174" s="1705"/>
      <c r="C174" s="1702"/>
      <c r="D174" s="1702" t="s">
        <v>2040</v>
      </c>
      <c r="E174" s="1691">
        <v>5940000</v>
      </c>
      <c r="F174" s="1706"/>
      <c r="G174" s="1714"/>
      <c r="H174" s="1693"/>
    </row>
    <row r="175" spans="2:8" s="1704" customFormat="1" ht="12">
      <c r="B175" s="1705"/>
      <c r="C175" s="1702"/>
      <c r="D175" s="1702" t="s">
        <v>2040</v>
      </c>
      <c r="E175" s="1691">
        <v>742500</v>
      </c>
      <c r="F175" s="1706"/>
      <c r="G175" s="1714"/>
      <c r="H175" s="1693"/>
    </row>
    <row r="176" spans="2:8" s="1704" customFormat="1" ht="12">
      <c r="B176" s="1705"/>
      <c r="C176" s="1702"/>
      <c r="D176" s="1702" t="s">
        <v>2040</v>
      </c>
      <c r="E176" s="1691">
        <v>1620000</v>
      </c>
      <c r="F176" s="1706"/>
      <c r="G176" s="1714"/>
      <c r="H176" s="1693"/>
    </row>
    <row r="177" spans="2:8" s="1704" customFormat="1" ht="12">
      <c r="B177" s="1705"/>
      <c r="C177" s="1702"/>
      <c r="D177" s="1702" t="s">
        <v>2026</v>
      </c>
      <c r="E177" s="1691">
        <v>445390</v>
      </c>
      <c r="F177" s="1706"/>
      <c r="G177" s="1714"/>
      <c r="H177" s="1693"/>
    </row>
    <row r="178" spans="2:8" s="1704" customFormat="1" ht="12">
      <c r="B178" s="1705"/>
      <c r="C178" s="1702"/>
      <c r="D178" s="1702" t="s">
        <v>2052</v>
      </c>
      <c r="E178" s="1691">
        <v>700000</v>
      </c>
      <c r="F178" s="1706"/>
      <c r="G178" s="1714"/>
      <c r="H178" s="1693"/>
    </row>
    <row r="179" spans="2:8" s="1704" customFormat="1" ht="12">
      <c r="B179" s="1705"/>
      <c r="C179" s="1702"/>
      <c r="D179" s="1702" t="s">
        <v>2053</v>
      </c>
      <c r="E179" s="1691">
        <v>593890</v>
      </c>
      <c r="F179" s="1706"/>
      <c r="G179" s="1714"/>
      <c r="H179" s="1693"/>
    </row>
    <row r="180" spans="2:8" s="1704" customFormat="1" ht="12">
      <c r="B180" s="1705"/>
      <c r="C180" s="1702"/>
      <c r="D180" s="1702" t="s">
        <v>2026</v>
      </c>
      <c r="E180" s="1691">
        <v>3200000</v>
      </c>
      <c r="F180" s="1706"/>
      <c r="G180" s="1714"/>
      <c r="H180" s="1693"/>
    </row>
    <row r="181" spans="2:8" s="1704" customFormat="1" ht="12">
      <c r="B181" s="1705"/>
      <c r="C181" s="1702"/>
      <c r="D181" s="1702" t="s">
        <v>2054</v>
      </c>
      <c r="E181" s="1691">
        <v>980000</v>
      </c>
      <c r="F181" s="1706"/>
      <c r="G181" s="1714"/>
      <c r="H181" s="1693"/>
    </row>
    <row r="182" spans="2:8" s="1704" customFormat="1" ht="12">
      <c r="B182" s="1705"/>
      <c r="C182" s="1702"/>
      <c r="D182" s="1702" t="s">
        <v>2055</v>
      </c>
      <c r="E182" s="1691">
        <v>781250</v>
      </c>
      <c r="F182" s="1706"/>
      <c r="G182" s="1714"/>
      <c r="H182" s="1693"/>
    </row>
    <row r="183" spans="2:8" s="1704" customFormat="1" ht="12">
      <c r="B183" s="1705"/>
      <c r="C183" s="1702"/>
      <c r="D183" s="1702" t="s">
        <v>2032</v>
      </c>
      <c r="E183" s="1691">
        <v>705100</v>
      </c>
      <c r="F183" s="1706"/>
      <c r="G183" s="1714"/>
      <c r="H183" s="1693"/>
    </row>
    <row r="184" spans="2:8" s="1704" customFormat="1" ht="0.75" customHeight="1">
      <c r="B184" s="1705"/>
      <c r="C184" s="1702"/>
      <c r="D184" s="1715"/>
      <c r="E184" s="1691"/>
      <c r="F184" s="1706"/>
      <c r="G184" s="1714"/>
      <c r="H184" s="1693"/>
    </row>
    <row r="185" spans="2:8" s="1704" customFormat="1" ht="12" hidden="1">
      <c r="B185" s="1705"/>
      <c r="C185" s="1702"/>
      <c r="D185" s="1702"/>
      <c r="E185" s="1691"/>
      <c r="F185" s="1706"/>
      <c r="G185" s="1714"/>
      <c r="H185" s="1693"/>
    </row>
    <row r="186" spans="2:8" s="1704" customFormat="1" ht="12">
      <c r="B186" s="2200" t="s">
        <v>197</v>
      </c>
      <c r="C186" s="2201"/>
      <c r="D186" s="2202"/>
      <c r="E186" s="1708">
        <f>SUM(E32:E184)</f>
        <v>4991203980</v>
      </c>
      <c r="F186" s="1709"/>
      <c r="G186" s="1884"/>
      <c r="H186" s="1693"/>
    </row>
    <row r="187" spans="2:8" s="1704" customFormat="1" ht="12">
      <c r="B187" s="1705"/>
      <c r="C187" s="1702"/>
      <c r="D187" s="1702"/>
      <c r="E187" s="1691"/>
      <c r="F187" s="1706"/>
      <c r="G187" s="1714"/>
      <c r="H187" s="1693"/>
    </row>
    <row r="188" spans="2:8" s="1704" customFormat="1" ht="12">
      <c r="B188" s="1700">
        <v>4</v>
      </c>
      <c r="C188" s="1710" t="s">
        <v>176</v>
      </c>
      <c r="D188" s="1711"/>
      <c r="E188" s="1712"/>
      <c r="F188" s="1713"/>
      <c r="G188" s="1885"/>
      <c r="H188" s="1693"/>
    </row>
    <row r="189" spans="2:8" s="1704" customFormat="1" ht="12">
      <c r="B189" s="1700"/>
      <c r="C189" s="1701"/>
      <c r="D189" s="1702"/>
      <c r="E189" s="1691"/>
      <c r="F189" s="1706"/>
      <c r="G189" s="1714"/>
      <c r="H189" s="1693"/>
    </row>
    <row r="190" spans="2:8" s="1704" customFormat="1" ht="12">
      <c r="B190" s="1705"/>
      <c r="C190" s="1702"/>
      <c r="D190" s="1702" t="s">
        <v>2056</v>
      </c>
      <c r="E190" s="1691">
        <v>203800000</v>
      </c>
      <c r="F190" s="1706"/>
      <c r="G190" s="1714" t="s">
        <v>2057</v>
      </c>
      <c r="H190" s="1693"/>
    </row>
    <row r="191" spans="2:8" s="1704" customFormat="1" ht="1.5" customHeight="1">
      <c r="B191" s="1705"/>
      <c r="C191" s="1702"/>
      <c r="D191" s="1702"/>
      <c r="E191" s="1691"/>
      <c r="F191" s="1706"/>
      <c r="G191" s="1714"/>
      <c r="H191" s="1693"/>
    </row>
    <row r="192" spans="2:8" s="1704" customFormat="1" ht="12">
      <c r="B192" s="2200" t="s">
        <v>197</v>
      </c>
      <c r="C192" s="2201"/>
      <c r="D192" s="2202"/>
      <c r="E192" s="1708">
        <f>SUM(E190:E190)</f>
        <v>203800000</v>
      </c>
      <c r="F192" s="1709"/>
      <c r="G192" s="1884"/>
      <c r="H192" s="1693"/>
    </row>
    <row r="193" spans="2:8" s="1707" customFormat="1" ht="12">
      <c r="B193" s="1705"/>
      <c r="C193" s="1702"/>
      <c r="D193" s="1702"/>
      <c r="E193" s="1691"/>
      <c r="F193" s="1706"/>
      <c r="G193" s="1714"/>
      <c r="H193" s="1686"/>
    </row>
    <row r="194" spans="2:8" s="1704" customFormat="1" ht="12">
      <c r="B194" s="1700">
        <v>5</v>
      </c>
      <c r="C194" s="1710" t="s">
        <v>192</v>
      </c>
      <c r="D194" s="1711"/>
      <c r="E194" s="1712"/>
      <c r="F194" s="1713"/>
      <c r="G194" s="1885"/>
      <c r="H194" s="1693"/>
    </row>
    <row r="195" spans="2:8" s="1704" customFormat="1" ht="12">
      <c r="B195" s="1700"/>
      <c r="C195" s="1701"/>
      <c r="D195" s="1701" t="s">
        <v>2058</v>
      </c>
      <c r="E195" s="1691"/>
      <c r="F195" s="1706"/>
      <c r="G195" s="1714"/>
      <c r="H195" s="1693"/>
    </row>
    <row r="196" spans="2:8" s="1704" customFormat="1" ht="24">
      <c r="B196" s="1700"/>
      <c r="C196" s="1701"/>
      <c r="D196" s="1702" t="s">
        <v>2059</v>
      </c>
      <c r="E196" s="1691">
        <v>3600000</v>
      </c>
      <c r="F196" s="1706"/>
      <c r="G196" s="1714" t="s">
        <v>2060</v>
      </c>
      <c r="H196" s="1693"/>
    </row>
    <row r="197" spans="2:8" s="1704" customFormat="1" ht="24">
      <c r="B197" s="1700"/>
      <c r="C197" s="1701"/>
      <c r="D197" s="1702" t="s">
        <v>2059</v>
      </c>
      <c r="E197" s="1691">
        <v>7940000</v>
      </c>
      <c r="F197" s="1706"/>
      <c r="G197" s="1714" t="s">
        <v>2060</v>
      </c>
      <c r="H197" s="1693"/>
    </row>
    <row r="198" spans="2:8" s="1704" customFormat="1" ht="24">
      <c r="B198" s="1700"/>
      <c r="C198" s="1701"/>
      <c r="D198" s="1702" t="s">
        <v>2059</v>
      </c>
      <c r="E198" s="1691">
        <v>2600000</v>
      </c>
      <c r="F198" s="1706"/>
      <c r="G198" s="1714" t="s">
        <v>2061</v>
      </c>
      <c r="H198" s="1693"/>
    </row>
    <row r="199" spans="2:8" s="1704" customFormat="1" ht="24">
      <c r="B199" s="1700"/>
      <c r="C199" s="1701"/>
      <c r="D199" s="1702" t="s">
        <v>2059</v>
      </c>
      <c r="E199" s="1691">
        <v>8440000</v>
      </c>
      <c r="F199" s="1706"/>
      <c r="G199" s="1714" t="s">
        <v>2060</v>
      </c>
      <c r="H199" s="1693"/>
    </row>
    <row r="200" spans="2:8" s="1704" customFormat="1" ht="24">
      <c r="B200" s="1700"/>
      <c r="C200" s="1701"/>
      <c r="D200" s="1702" t="s">
        <v>2062</v>
      </c>
      <c r="E200" s="1691">
        <v>14725000</v>
      </c>
      <c r="F200" s="1706"/>
      <c r="G200" s="1714" t="s">
        <v>2060</v>
      </c>
      <c r="H200" s="1693"/>
    </row>
    <row r="201" spans="2:8" s="1704" customFormat="1" ht="24">
      <c r="B201" s="1700"/>
      <c r="C201" s="1701"/>
      <c r="D201" s="1702" t="s">
        <v>2062</v>
      </c>
      <c r="E201" s="1691">
        <v>11900000</v>
      </c>
      <c r="F201" s="1706"/>
      <c r="G201" s="1714" t="s">
        <v>2061</v>
      </c>
      <c r="H201" s="1693"/>
    </row>
    <row r="202" spans="2:8" s="1704" customFormat="1" ht="24">
      <c r="B202" s="1700"/>
      <c r="C202" s="1701"/>
      <c r="D202" s="1702" t="s">
        <v>2062</v>
      </c>
      <c r="E202" s="1691">
        <v>2000000</v>
      </c>
      <c r="F202" s="1706"/>
      <c r="G202" s="1714" t="s">
        <v>2061</v>
      </c>
      <c r="H202" s="1693"/>
    </row>
    <row r="203" spans="2:8" s="1704" customFormat="1" ht="24">
      <c r="B203" s="1700"/>
      <c r="C203" s="1701"/>
      <c r="D203" s="1702" t="s">
        <v>2062</v>
      </c>
      <c r="E203" s="1691">
        <v>15200000</v>
      </c>
      <c r="F203" s="1706"/>
      <c r="G203" s="1714" t="s">
        <v>2061</v>
      </c>
      <c r="H203" s="1693"/>
    </row>
    <row r="204" spans="2:8" s="1704" customFormat="1" ht="24">
      <c r="B204" s="1700"/>
      <c r="C204" s="1701"/>
      <c r="D204" s="1702" t="s">
        <v>2062</v>
      </c>
      <c r="E204" s="1691">
        <v>42750000</v>
      </c>
      <c r="F204" s="1706"/>
      <c r="G204" s="1714" t="s">
        <v>2061</v>
      </c>
      <c r="H204" s="1693"/>
    </row>
    <row r="205" spans="2:8" s="1704" customFormat="1" ht="24">
      <c r="B205" s="1700"/>
      <c r="C205" s="1701"/>
      <c r="D205" s="1702" t="s">
        <v>2062</v>
      </c>
      <c r="E205" s="1691">
        <v>2895000</v>
      </c>
      <c r="F205" s="1706"/>
      <c r="G205" s="1714" t="s">
        <v>2060</v>
      </c>
      <c r="H205" s="1693"/>
    </row>
    <row r="206" spans="2:8" s="1704" customFormat="1" ht="24">
      <c r="B206" s="1700"/>
      <c r="C206" s="1701"/>
      <c r="D206" s="1702" t="s">
        <v>2063</v>
      </c>
      <c r="E206" s="1691">
        <v>409104000</v>
      </c>
      <c r="F206" s="1706"/>
      <c r="G206" s="1714" t="s">
        <v>2064</v>
      </c>
      <c r="H206" s="1693"/>
    </row>
    <row r="207" spans="2:8" s="1704" customFormat="1" ht="24">
      <c r="B207" s="1700"/>
      <c r="C207" s="1701"/>
      <c r="D207" s="1702" t="s">
        <v>2065</v>
      </c>
      <c r="E207" s="1691">
        <v>53466000</v>
      </c>
      <c r="F207" s="1706"/>
      <c r="G207" s="1714" t="s">
        <v>2066</v>
      </c>
      <c r="H207" s="1693"/>
    </row>
    <row r="208" spans="2:8" s="1704" customFormat="1" ht="24">
      <c r="B208" s="1700"/>
      <c r="C208" s="1701"/>
      <c r="D208" s="1702" t="s">
        <v>2067</v>
      </c>
      <c r="E208" s="1691">
        <v>388851000</v>
      </c>
      <c r="F208" s="1706"/>
      <c r="G208" s="1714" t="s">
        <v>2068</v>
      </c>
      <c r="H208" s="1693"/>
    </row>
    <row r="209" spans="2:8" s="1704" customFormat="1" ht="24">
      <c r="B209" s="1700"/>
      <c r="C209" s="1701"/>
      <c r="D209" s="1702" t="s">
        <v>2069</v>
      </c>
      <c r="E209" s="1691">
        <v>102200000</v>
      </c>
      <c r="F209" s="1706"/>
      <c r="G209" s="1714" t="s">
        <v>2070</v>
      </c>
      <c r="H209" s="1693"/>
    </row>
    <row r="210" spans="2:8" s="1704" customFormat="1" ht="24">
      <c r="B210" s="1700"/>
      <c r="C210" s="1701"/>
      <c r="D210" s="1702" t="s">
        <v>2063</v>
      </c>
      <c r="E210" s="1691">
        <v>214188000</v>
      </c>
      <c r="F210" s="1706"/>
      <c r="G210" s="1714" t="s">
        <v>2064</v>
      </c>
      <c r="H210" s="1693"/>
    </row>
    <row r="211" spans="2:8" s="1704" customFormat="1" ht="24">
      <c r="B211" s="1700"/>
      <c r="C211" s="1701"/>
      <c r="D211" s="1702" t="s">
        <v>2071</v>
      </c>
      <c r="E211" s="1691">
        <v>2175000</v>
      </c>
      <c r="F211" s="1706"/>
      <c r="G211" s="1714" t="s">
        <v>2060</v>
      </c>
      <c r="H211" s="1693"/>
    </row>
    <row r="212" spans="2:8" s="1704" customFormat="1" ht="24">
      <c r="B212" s="1700"/>
      <c r="C212" s="1701"/>
      <c r="D212" s="1702" t="s">
        <v>2072</v>
      </c>
      <c r="E212" s="1691">
        <v>990000</v>
      </c>
      <c r="F212" s="1706"/>
      <c r="G212" s="1714" t="s">
        <v>2060</v>
      </c>
      <c r="H212" s="1693"/>
    </row>
    <row r="213" spans="2:8" s="1704" customFormat="1" ht="24">
      <c r="B213" s="1700"/>
      <c r="C213" s="1701"/>
      <c r="D213" s="1702" t="s">
        <v>2073</v>
      </c>
      <c r="E213" s="1691">
        <v>967500</v>
      </c>
      <c r="F213" s="1706"/>
      <c r="G213" s="1714" t="s">
        <v>2060</v>
      </c>
      <c r="H213" s="1693"/>
    </row>
    <row r="214" spans="2:8" s="1704" customFormat="1" ht="24">
      <c r="B214" s="1700"/>
      <c r="C214" s="1701"/>
      <c r="D214" s="1702" t="s">
        <v>2074</v>
      </c>
      <c r="E214" s="1691">
        <v>845000</v>
      </c>
      <c r="F214" s="1706"/>
      <c r="G214" s="1714" t="s">
        <v>2060</v>
      </c>
      <c r="H214" s="1693"/>
    </row>
    <row r="215" spans="2:8" s="1704" customFormat="1" ht="24">
      <c r="B215" s="1700"/>
      <c r="C215" s="1701"/>
      <c r="D215" s="1702" t="s">
        <v>2063</v>
      </c>
      <c r="E215" s="1691">
        <v>13420000</v>
      </c>
      <c r="F215" s="1706"/>
      <c r="G215" s="1714" t="s">
        <v>2064</v>
      </c>
      <c r="H215" s="1693"/>
    </row>
    <row r="216" spans="2:8" s="1704" customFormat="1" ht="24">
      <c r="B216" s="1700"/>
      <c r="C216" s="1701"/>
      <c r="D216" s="1702" t="s">
        <v>2063</v>
      </c>
      <c r="E216" s="1691">
        <v>1100000</v>
      </c>
      <c r="F216" s="1706"/>
      <c r="G216" s="1714" t="s">
        <v>2064</v>
      </c>
      <c r="H216" s="1693"/>
    </row>
    <row r="217" spans="2:8" s="1704" customFormat="1" ht="24">
      <c r="B217" s="1700"/>
      <c r="C217" s="1701"/>
      <c r="D217" s="1702" t="s">
        <v>2075</v>
      </c>
      <c r="E217" s="1691">
        <v>8995000</v>
      </c>
      <c r="F217" s="1706"/>
      <c r="G217" s="1714" t="s">
        <v>2076</v>
      </c>
      <c r="H217" s="1693"/>
    </row>
    <row r="218" spans="2:8" s="1704" customFormat="1" ht="24">
      <c r="B218" s="1700"/>
      <c r="C218" s="1701"/>
      <c r="D218" s="1702" t="s">
        <v>2077</v>
      </c>
      <c r="E218" s="1691">
        <v>7200000</v>
      </c>
      <c r="F218" s="1706"/>
      <c r="G218" s="1714" t="s">
        <v>2061</v>
      </c>
      <c r="H218" s="1693"/>
    </row>
    <row r="219" spans="2:8" s="1704" customFormat="1" ht="24">
      <c r="B219" s="1700"/>
      <c r="C219" s="1701"/>
      <c r="D219" s="1702" t="s">
        <v>2078</v>
      </c>
      <c r="E219" s="1691">
        <v>854900</v>
      </c>
      <c r="F219" s="1706"/>
      <c r="G219" s="1714" t="s">
        <v>2060</v>
      </c>
      <c r="H219" s="1693"/>
    </row>
    <row r="220" spans="2:8" s="1704" customFormat="1" ht="24">
      <c r="B220" s="1700"/>
      <c r="C220" s="1701"/>
      <c r="D220" s="1702" t="s">
        <v>2079</v>
      </c>
      <c r="E220" s="1691">
        <v>11000000</v>
      </c>
      <c r="F220" s="1706"/>
      <c r="G220" s="1714" t="s">
        <v>2080</v>
      </c>
      <c r="H220" s="1693"/>
    </row>
    <row r="221" spans="2:8" s="1704" customFormat="1" ht="24">
      <c r="B221" s="1700"/>
      <c r="C221" s="1701"/>
      <c r="D221" s="1702" t="s">
        <v>2081</v>
      </c>
      <c r="E221" s="1691">
        <v>3500000</v>
      </c>
      <c r="F221" s="1706"/>
      <c r="G221" s="1714" t="s">
        <v>2060</v>
      </c>
      <c r="H221" s="1693"/>
    </row>
    <row r="222" spans="2:8" s="1704" customFormat="1" ht="24">
      <c r="B222" s="1700"/>
      <c r="C222" s="1701"/>
      <c r="D222" s="1702" t="s">
        <v>2082</v>
      </c>
      <c r="E222" s="1691">
        <v>8350000</v>
      </c>
      <c r="F222" s="1706"/>
      <c r="G222" s="1714" t="s">
        <v>2060</v>
      </c>
      <c r="H222" s="1693"/>
    </row>
    <row r="223" spans="2:8" s="1704" customFormat="1" ht="24">
      <c r="B223" s="1700"/>
      <c r="C223" s="1701"/>
      <c r="D223" s="1702" t="s">
        <v>2083</v>
      </c>
      <c r="E223" s="1691">
        <v>2918500</v>
      </c>
      <c r="F223" s="1706"/>
      <c r="G223" s="1714" t="s">
        <v>2060</v>
      </c>
      <c r="H223" s="1693"/>
    </row>
    <row r="224" spans="2:8" s="1704" customFormat="1" ht="24">
      <c r="B224" s="1700"/>
      <c r="C224" s="1701"/>
      <c r="D224" s="1702" t="s">
        <v>2084</v>
      </c>
      <c r="E224" s="1691">
        <v>1885000</v>
      </c>
      <c r="F224" s="1706"/>
      <c r="G224" s="1714" t="s">
        <v>2060</v>
      </c>
      <c r="H224" s="1693"/>
    </row>
    <row r="225" spans="2:8" s="1704" customFormat="1" ht="24">
      <c r="B225" s="1700"/>
      <c r="C225" s="1701"/>
      <c r="D225" s="1702" t="s">
        <v>2085</v>
      </c>
      <c r="E225" s="1691">
        <v>3390000</v>
      </c>
      <c r="F225" s="1706"/>
      <c r="G225" s="1714" t="s">
        <v>2060</v>
      </c>
      <c r="H225" s="1693"/>
    </row>
    <row r="226" spans="2:8" s="1704" customFormat="1" ht="24">
      <c r="B226" s="1700"/>
      <c r="C226" s="1701"/>
      <c r="D226" s="1702" t="s">
        <v>2086</v>
      </c>
      <c r="E226" s="1691">
        <v>2050000</v>
      </c>
      <c r="F226" s="1706"/>
      <c r="G226" s="1714" t="s">
        <v>2060</v>
      </c>
      <c r="H226" s="1693"/>
    </row>
    <row r="227" spans="2:8" s="1704" customFormat="1" ht="24">
      <c r="B227" s="1700"/>
      <c r="C227" s="1701"/>
      <c r="D227" s="1702" t="s">
        <v>2087</v>
      </c>
      <c r="E227" s="1691">
        <v>4844000</v>
      </c>
      <c r="F227" s="1706"/>
      <c r="G227" s="1714" t="s">
        <v>2060</v>
      </c>
      <c r="H227" s="1693"/>
    </row>
    <row r="228" spans="2:8" s="1704" customFormat="1" ht="24">
      <c r="B228" s="1700"/>
      <c r="C228" s="1701"/>
      <c r="D228" s="1702" t="s">
        <v>2088</v>
      </c>
      <c r="E228" s="1691">
        <v>1970000</v>
      </c>
      <c r="F228" s="1706"/>
      <c r="G228" s="1714" t="s">
        <v>2060</v>
      </c>
      <c r="H228" s="1693"/>
    </row>
    <row r="229" spans="2:8" s="1704" customFormat="1" ht="12">
      <c r="B229" s="1700"/>
      <c r="C229" s="1701"/>
      <c r="D229" s="1702" t="s">
        <v>2089</v>
      </c>
      <c r="E229" s="1691">
        <v>4849000</v>
      </c>
      <c r="F229" s="1706"/>
      <c r="G229" s="1714" t="s">
        <v>2090</v>
      </c>
      <c r="H229" s="1693"/>
    </row>
    <row r="230" spans="2:8" s="1704" customFormat="1" ht="24">
      <c r="B230" s="1700"/>
      <c r="C230" s="1701"/>
      <c r="D230" s="1702" t="s">
        <v>2063</v>
      </c>
      <c r="E230" s="1691">
        <v>3526500</v>
      </c>
      <c r="F230" s="1706"/>
      <c r="G230" s="1714" t="s">
        <v>2064</v>
      </c>
      <c r="H230" s="1693"/>
    </row>
    <row r="231" spans="2:8" s="1704" customFormat="1" ht="24">
      <c r="B231" s="1700"/>
      <c r="C231" s="1701"/>
      <c r="D231" s="1702" t="s">
        <v>2063</v>
      </c>
      <c r="E231" s="1691">
        <v>1320000</v>
      </c>
      <c r="F231" s="1706"/>
      <c r="G231" s="1714" t="s">
        <v>2064</v>
      </c>
      <c r="H231" s="1693"/>
    </row>
    <row r="232" spans="2:8" s="1704" customFormat="1" ht="24">
      <c r="B232" s="1700"/>
      <c r="C232" s="1701"/>
      <c r="D232" s="1702" t="s">
        <v>2063</v>
      </c>
      <c r="E232" s="1691">
        <v>99067750</v>
      </c>
      <c r="F232" s="1706"/>
      <c r="G232" s="1714" t="s">
        <v>2064</v>
      </c>
      <c r="H232" s="1693"/>
    </row>
    <row r="233" spans="2:8" s="1704" customFormat="1" ht="24">
      <c r="B233" s="1700"/>
      <c r="C233" s="1701"/>
      <c r="D233" s="1702" t="s">
        <v>2063</v>
      </c>
      <c r="E233" s="1691">
        <v>71950000</v>
      </c>
      <c r="F233" s="1706"/>
      <c r="G233" s="1714" t="s">
        <v>2064</v>
      </c>
      <c r="H233" s="1693"/>
    </row>
    <row r="234" spans="2:8" s="1704" customFormat="1" ht="24">
      <c r="B234" s="1700"/>
      <c r="C234" s="1701"/>
      <c r="D234" s="1702" t="s">
        <v>2091</v>
      </c>
      <c r="E234" s="1691">
        <v>1430000</v>
      </c>
      <c r="F234" s="1706"/>
      <c r="G234" s="1714" t="s">
        <v>2060</v>
      </c>
      <c r="H234" s="1693"/>
    </row>
    <row r="235" spans="2:8" s="1704" customFormat="1" ht="24">
      <c r="B235" s="1700"/>
      <c r="C235" s="1701"/>
      <c r="D235" s="1702" t="s">
        <v>2092</v>
      </c>
      <c r="E235" s="1691">
        <v>10000000</v>
      </c>
      <c r="F235" s="1706"/>
      <c r="G235" s="1714" t="s">
        <v>2080</v>
      </c>
      <c r="H235" s="1693"/>
    </row>
    <row r="236" spans="2:8" s="1704" customFormat="1" ht="24">
      <c r="B236" s="1700"/>
      <c r="C236" s="1701"/>
      <c r="D236" s="1702" t="s">
        <v>2093</v>
      </c>
      <c r="E236" s="1691">
        <v>38375000</v>
      </c>
      <c r="F236" s="1706"/>
      <c r="G236" s="1714" t="s">
        <v>2080</v>
      </c>
      <c r="H236" s="1693"/>
    </row>
    <row r="237" spans="2:8" s="1704" customFormat="1" ht="24">
      <c r="B237" s="1700"/>
      <c r="C237" s="1701"/>
      <c r="D237" s="1702" t="s">
        <v>2094</v>
      </c>
      <c r="E237" s="1691">
        <v>4694800</v>
      </c>
      <c r="F237" s="1706"/>
      <c r="G237" s="1714" t="s">
        <v>2060</v>
      </c>
      <c r="H237" s="1693"/>
    </row>
    <row r="238" spans="2:8" s="1704" customFormat="1" ht="24">
      <c r="B238" s="1700"/>
      <c r="C238" s="1701"/>
      <c r="D238" s="1702" t="s">
        <v>2095</v>
      </c>
      <c r="E238" s="1691">
        <v>12815000</v>
      </c>
      <c r="F238" s="1706"/>
      <c r="G238" s="1714" t="s">
        <v>2060</v>
      </c>
      <c r="H238" s="1693"/>
    </row>
    <row r="239" spans="2:8" s="1704" customFormat="1" ht="24">
      <c r="B239" s="1700"/>
      <c r="C239" s="1701"/>
      <c r="D239" s="1702" t="s">
        <v>2096</v>
      </c>
      <c r="E239" s="1691">
        <v>7222000</v>
      </c>
      <c r="F239" s="1706"/>
      <c r="G239" s="1714" t="s">
        <v>2080</v>
      </c>
      <c r="H239" s="1693"/>
    </row>
    <row r="240" spans="2:8" s="1704" customFormat="1" ht="24">
      <c r="B240" s="1700"/>
      <c r="C240" s="1701"/>
      <c r="D240" s="1702" t="s">
        <v>2097</v>
      </c>
      <c r="E240" s="1691">
        <v>6200000</v>
      </c>
      <c r="F240" s="1706"/>
      <c r="G240" s="1714" t="s">
        <v>2061</v>
      </c>
      <c r="H240" s="1693"/>
    </row>
    <row r="241" spans="2:8" s="1704" customFormat="1" ht="24">
      <c r="B241" s="1700"/>
      <c r="C241" s="1701"/>
      <c r="D241" s="1702" t="s">
        <v>2098</v>
      </c>
      <c r="E241" s="1691">
        <v>79200000</v>
      </c>
      <c r="F241" s="1706"/>
      <c r="G241" s="1714" t="s">
        <v>2060</v>
      </c>
      <c r="H241" s="1693"/>
    </row>
    <row r="242" spans="2:8" s="1704" customFormat="1" ht="24">
      <c r="B242" s="1700"/>
      <c r="C242" s="1701"/>
      <c r="D242" s="1702" t="s">
        <v>2099</v>
      </c>
      <c r="E242" s="1691">
        <v>32000000</v>
      </c>
      <c r="F242" s="1706"/>
      <c r="G242" s="1714" t="s">
        <v>2060</v>
      </c>
      <c r="H242" s="1693"/>
    </row>
    <row r="243" spans="2:8" s="1704" customFormat="1" ht="24">
      <c r="B243" s="1700"/>
      <c r="C243" s="1701"/>
      <c r="D243" s="1702" t="s">
        <v>2099</v>
      </c>
      <c r="E243" s="1691">
        <v>15750000</v>
      </c>
      <c r="F243" s="1706"/>
      <c r="G243" s="1714" t="s">
        <v>2061</v>
      </c>
      <c r="H243" s="1693"/>
    </row>
    <row r="244" spans="2:8" s="1704" customFormat="1" ht="24">
      <c r="B244" s="1700"/>
      <c r="C244" s="1701"/>
      <c r="D244" s="1702" t="s">
        <v>2091</v>
      </c>
      <c r="E244" s="1691">
        <v>2860000</v>
      </c>
      <c r="F244" s="1706"/>
      <c r="G244" s="1714" t="s">
        <v>2060</v>
      </c>
      <c r="H244" s="1693"/>
    </row>
    <row r="245" spans="2:8" s="1704" customFormat="1" ht="24">
      <c r="B245" s="1700"/>
      <c r="C245" s="1701"/>
      <c r="D245" s="1702" t="s">
        <v>2100</v>
      </c>
      <c r="E245" s="1691">
        <v>7900000</v>
      </c>
      <c r="F245" s="1706"/>
      <c r="G245" s="1714" t="s">
        <v>2060</v>
      </c>
      <c r="H245" s="1693"/>
    </row>
    <row r="246" spans="2:8" s="1704" customFormat="1" ht="24">
      <c r="B246" s="1700"/>
      <c r="C246" s="1701"/>
      <c r="D246" s="1702" t="s">
        <v>2098</v>
      </c>
      <c r="E246" s="1691">
        <v>39600000</v>
      </c>
      <c r="F246" s="1706"/>
      <c r="G246" s="1714" t="s">
        <v>2060</v>
      </c>
      <c r="H246" s="1693"/>
    </row>
    <row r="247" spans="2:8" s="1704" customFormat="1" ht="24">
      <c r="B247" s="1700"/>
      <c r="C247" s="1701"/>
      <c r="D247" s="1702" t="s">
        <v>2101</v>
      </c>
      <c r="E247" s="1691">
        <v>580000</v>
      </c>
      <c r="F247" s="1706"/>
      <c r="G247" s="1714" t="s">
        <v>2060</v>
      </c>
      <c r="H247" s="1693"/>
    </row>
    <row r="248" spans="2:8" s="1704" customFormat="1" ht="24">
      <c r="B248" s="1700"/>
      <c r="C248" s="1701"/>
      <c r="D248" s="1702" t="s">
        <v>2102</v>
      </c>
      <c r="E248" s="1691">
        <v>1725000</v>
      </c>
      <c r="F248" s="1706"/>
      <c r="G248" s="1714" t="s">
        <v>2060</v>
      </c>
      <c r="H248" s="1693"/>
    </row>
    <row r="249" spans="2:8" s="1704" customFormat="1" ht="24">
      <c r="B249" s="1700"/>
      <c r="C249" s="1701"/>
      <c r="D249" s="1702" t="s">
        <v>2063</v>
      </c>
      <c r="E249" s="1691">
        <v>37080000</v>
      </c>
      <c r="F249" s="1706"/>
      <c r="G249" s="1714" t="s">
        <v>2064</v>
      </c>
      <c r="H249" s="1693"/>
    </row>
    <row r="250" spans="2:8" s="1704" customFormat="1" ht="24">
      <c r="B250" s="1700"/>
      <c r="C250" s="1701"/>
      <c r="D250" s="1702" t="s">
        <v>2063</v>
      </c>
      <c r="E250" s="1691">
        <v>59500000</v>
      </c>
      <c r="F250" s="1706"/>
      <c r="G250" s="1714" t="s">
        <v>2064</v>
      </c>
      <c r="H250" s="1693"/>
    </row>
    <row r="251" spans="2:8" s="1704" customFormat="1" ht="24">
      <c r="B251" s="1700"/>
      <c r="C251" s="1701"/>
      <c r="D251" s="1702" t="s">
        <v>2063</v>
      </c>
      <c r="E251" s="1691">
        <v>396906000</v>
      </c>
      <c r="F251" s="1706"/>
      <c r="G251" s="1714" t="s">
        <v>2064</v>
      </c>
      <c r="H251" s="1693"/>
    </row>
    <row r="252" spans="2:8" s="1704" customFormat="1" ht="24">
      <c r="B252" s="1700"/>
      <c r="C252" s="1701"/>
      <c r="D252" s="1702" t="s">
        <v>2063</v>
      </c>
      <c r="E252" s="1691">
        <v>66147817</v>
      </c>
      <c r="F252" s="1706"/>
      <c r="G252" s="1714" t="s">
        <v>2064</v>
      </c>
      <c r="H252" s="1693"/>
    </row>
    <row r="253" spans="2:8" s="1704" customFormat="1" ht="24">
      <c r="B253" s="1700"/>
      <c r="C253" s="1701"/>
      <c r="D253" s="1702" t="s">
        <v>2063</v>
      </c>
      <c r="E253" s="1691">
        <v>199520000</v>
      </c>
      <c r="F253" s="1706"/>
      <c r="G253" s="1714" t="s">
        <v>2103</v>
      </c>
      <c r="H253" s="1693"/>
    </row>
    <row r="254" spans="2:8" s="1704" customFormat="1" ht="24">
      <c r="B254" s="1700"/>
      <c r="C254" s="1701"/>
      <c r="D254" s="1702" t="s">
        <v>2063</v>
      </c>
      <c r="E254" s="1691">
        <v>99800000</v>
      </c>
      <c r="F254" s="1706"/>
      <c r="G254" s="1714" t="s">
        <v>2064</v>
      </c>
      <c r="H254" s="1693"/>
    </row>
    <row r="255" spans="2:8" s="1704" customFormat="1" ht="24">
      <c r="B255" s="1700"/>
      <c r="C255" s="1701"/>
      <c r="D255" s="1702" t="s">
        <v>2063</v>
      </c>
      <c r="E255" s="1691">
        <v>199800000</v>
      </c>
      <c r="F255" s="1706"/>
      <c r="G255" s="1714" t="s">
        <v>2064</v>
      </c>
      <c r="H255" s="1693"/>
    </row>
    <row r="256" spans="2:8" s="1704" customFormat="1" ht="24">
      <c r="B256" s="1700"/>
      <c r="C256" s="1701"/>
      <c r="D256" s="1702" t="s">
        <v>2104</v>
      </c>
      <c r="E256" s="1691">
        <v>2700000</v>
      </c>
      <c r="F256" s="1706"/>
      <c r="G256" s="1714" t="s">
        <v>2060</v>
      </c>
      <c r="H256" s="1693"/>
    </row>
    <row r="257" spans="2:8" s="1704" customFormat="1" ht="24">
      <c r="B257" s="1700"/>
      <c r="C257" s="1701"/>
      <c r="D257" s="1702" t="s">
        <v>2104</v>
      </c>
      <c r="E257" s="1691">
        <v>10600000</v>
      </c>
      <c r="F257" s="1706"/>
      <c r="G257" s="1714" t="s">
        <v>2060</v>
      </c>
      <c r="H257" s="1693"/>
    </row>
    <row r="258" spans="2:8" s="1704" customFormat="1" ht="24">
      <c r="B258" s="1700"/>
      <c r="C258" s="1701"/>
      <c r="D258" s="1702" t="s">
        <v>2063</v>
      </c>
      <c r="E258" s="1691">
        <v>59660000</v>
      </c>
      <c r="F258" s="1706"/>
      <c r="G258" s="1714" t="s">
        <v>2064</v>
      </c>
      <c r="H258" s="1693"/>
    </row>
    <row r="259" spans="2:8" s="1704" customFormat="1" ht="24">
      <c r="B259" s="1700"/>
      <c r="C259" s="1701"/>
      <c r="D259" s="1702" t="s">
        <v>2075</v>
      </c>
      <c r="E259" s="1691">
        <v>3600000</v>
      </c>
      <c r="F259" s="1706"/>
      <c r="G259" s="1714" t="s">
        <v>2105</v>
      </c>
      <c r="H259" s="1693"/>
    </row>
    <row r="260" spans="2:8" s="1704" customFormat="1" ht="24">
      <c r="B260" s="1700"/>
      <c r="C260" s="1701"/>
      <c r="D260" s="1702" t="s">
        <v>2075</v>
      </c>
      <c r="E260" s="1691">
        <v>9457500</v>
      </c>
      <c r="F260" s="1706"/>
      <c r="G260" s="1714" t="s">
        <v>2105</v>
      </c>
      <c r="H260" s="1693"/>
    </row>
    <row r="261" spans="2:8" s="1704" customFormat="1" ht="1.5" customHeight="1">
      <c r="B261" s="1700"/>
      <c r="C261" s="1701"/>
      <c r="D261" s="1702"/>
      <c r="E261" s="1691"/>
      <c r="F261" s="1706"/>
      <c r="G261" s="1714"/>
      <c r="H261" s="1693"/>
    </row>
    <row r="262" spans="2:8" s="1704" customFormat="1" ht="12" hidden="1">
      <c r="B262" s="1705"/>
      <c r="C262" s="1702"/>
      <c r="D262" s="1702"/>
      <c r="E262" s="1691"/>
      <c r="F262" s="1706"/>
      <c r="G262" s="1714"/>
      <c r="H262" s="1693"/>
    </row>
    <row r="263" spans="2:8" s="1704" customFormat="1" ht="12">
      <c r="B263" s="2200" t="s">
        <v>197</v>
      </c>
      <c r="C263" s="2201"/>
      <c r="D263" s="2202"/>
      <c r="E263" s="1708">
        <f>SUM(E196:E262)</f>
        <v>2942150267</v>
      </c>
      <c r="F263" s="1709"/>
      <c r="G263" s="1884"/>
      <c r="H263" s="1693"/>
    </row>
    <row r="264" spans="2:8" s="1704" customFormat="1" ht="12">
      <c r="B264" s="1705"/>
      <c r="C264" s="1702"/>
      <c r="D264" s="1702"/>
      <c r="E264" s="1691"/>
      <c r="F264" s="1706"/>
      <c r="G264" s="1714"/>
      <c r="H264" s="1693"/>
    </row>
    <row r="265" spans="2:8" s="1704" customFormat="1" ht="12">
      <c r="B265" s="1700">
        <v>6</v>
      </c>
      <c r="C265" s="1710" t="s">
        <v>1876</v>
      </c>
      <c r="D265" s="1710"/>
      <c r="E265" s="1708"/>
      <c r="F265" s="1709"/>
      <c r="G265" s="1884"/>
      <c r="H265" s="1693"/>
    </row>
    <row r="266" spans="2:8" s="1704" customFormat="1" ht="12">
      <c r="B266" s="1705"/>
      <c r="C266" s="1702"/>
      <c r="D266" s="1702"/>
      <c r="E266" s="1691"/>
      <c r="F266" s="1706"/>
      <c r="G266" s="1714"/>
      <c r="H266" s="1693"/>
    </row>
    <row r="267" spans="2:8" s="1704" customFormat="1" ht="12">
      <c r="B267" s="1705"/>
      <c r="C267" s="1702"/>
      <c r="D267" s="1702" t="s">
        <v>2106</v>
      </c>
      <c r="E267" s="1691">
        <v>112805000</v>
      </c>
      <c r="F267" s="1706"/>
      <c r="G267" s="1714"/>
      <c r="H267" s="1693"/>
    </row>
    <row r="268" spans="2:8" s="1704" customFormat="1" ht="12">
      <c r="B268" s="1705"/>
      <c r="C268" s="1702"/>
      <c r="D268" s="1702" t="s">
        <v>2107</v>
      </c>
      <c r="E268" s="1691">
        <v>34750000</v>
      </c>
      <c r="F268" s="1706"/>
      <c r="G268" s="1714"/>
      <c r="H268" s="1693"/>
    </row>
    <row r="269" spans="2:8" s="1704" customFormat="1" ht="12">
      <c r="B269" s="1705"/>
      <c r="C269" s="1702"/>
      <c r="D269" s="1702" t="s">
        <v>2108</v>
      </c>
      <c r="E269" s="1691">
        <v>10000000</v>
      </c>
      <c r="F269" s="1706"/>
      <c r="G269" s="1714"/>
      <c r="H269" s="1693"/>
    </row>
    <row r="270" spans="2:8" s="1704" customFormat="1" ht="12">
      <c r="B270" s="1705"/>
      <c r="C270" s="1702"/>
      <c r="D270" s="1702" t="s">
        <v>2109</v>
      </c>
      <c r="E270" s="1691">
        <v>13850000</v>
      </c>
      <c r="F270" s="1706"/>
      <c r="G270" s="1714"/>
      <c r="H270" s="1693"/>
    </row>
    <row r="271" spans="2:8" s="1704" customFormat="1" ht="12">
      <c r="B271" s="1705"/>
      <c r="C271" s="1702"/>
      <c r="D271" s="1702" t="s">
        <v>2109</v>
      </c>
      <c r="E271" s="1691">
        <v>13850000</v>
      </c>
      <c r="F271" s="1706"/>
      <c r="G271" s="1714"/>
      <c r="H271" s="1693"/>
    </row>
    <row r="272" spans="2:8" s="1704" customFormat="1" ht="12">
      <c r="B272" s="1705"/>
      <c r="C272" s="1702"/>
      <c r="D272" s="1702" t="s">
        <v>2023</v>
      </c>
      <c r="E272" s="1691">
        <v>2500000</v>
      </c>
      <c r="F272" s="1706"/>
      <c r="G272" s="1714"/>
      <c r="H272" s="1693"/>
    </row>
    <row r="273" spans="2:8" s="1704" customFormat="1" ht="12">
      <c r="B273" s="1705"/>
      <c r="C273" s="1702"/>
      <c r="D273" s="1702" t="s">
        <v>2110</v>
      </c>
      <c r="E273" s="1691">
        <v>2400000</v>
      </c>
      <c r="F273" s="1706"/>
      <c r="G273" s="1714"/>
      <c r="H273" s="1693"/>
    </row>
    <row r="274" spans="2:8" s="1704" customFormat="1" ht="12">
      <c r="B274" s="1705"/>
      <c r="C274" s="1702"/>
      <c r="D274" s="1702" t="s">
        <v>2110</v>
      </c>
      <c r="E274" s="1691">
        <v>2400000</v>
      </c>
      <c r="F274" s="1706"/>
      <c r="G274" s="1714"/>
      <c r="H274" s="1693"/>
    </row>
    <row r="275" spans="2:8" s="1704" customFormat="1" ht="12">
      <c r="B275" s="1705"/>
      <c r="C275" s="1702"/>
      <c r="D275" s="1702" t="s">
        <v>2111</v>
      </c>
      <c r="E275" s="1691">
        <v>10000000</v>
      </c>
      <c r="F275" s="1706"/>
      <c r="G275" s="1714"/>
      <c r="H275" s="1693"/>
    </row>
    <row r="276" spans="2:8" s="1704" customFormat="1" ht="12">
      <c r="B276" s="1705"/>
      <c r="C276" s="1702"/>
      <c r="D276" s="1702" t="s">
        <v>2112</v>
      </c>
      <c r="E276" s="1691">
        <v>2850000</v>
      </c>
      <c r="F276" s="1706"/>
      <c r="G276" s="1714"/>
      <c r="H276" s="1693"/>
    </row>
    <row r="277" spans="2:8" s="1704" customFormat="1" ht="1.5" customHeight="1">
      <c r="B277" s="1705"/>
      <c r="C277" s="1702"/>
      <c r="D277" s="1702"/>
      <c r="E277" s="1691"/>
      <c r="F277" s="1706"/>
      <c r="G277" s="1714"/>
      <c r="H277" s="1693"/>
    </row>
    <row r="278" spans="2:8" s="1704" customFormat="1" ht="12" hidden="1">
      <c r="B278" s="1705"/>
      <c r="C278" s="1702"/>
      <c r="D278" s="1702"/>
      <c r="E278" s="1691"/>
      <c r="F278" s="1706"/>
      <c r="G278" s="1714"/>
      <c r="H278" s="1693"/>
    </row>
    <row r="279" spans="2:8" s="1704" customFormat="1" thickBot="1">
      <c r="B279" s="2206" t="s">
        <v>197</v>
      </c>
      <c r="C279" s="2207"/>
      <c r="D279" s="2208"/>
      <c r="E279" s="1716">
        <f>SUM(E266:E278)</f>
        <v>205405000</v>
      </c>
      <c r="F279" s="1717"/>
      <c r="G279" s="1886"/>
      <c r="H279" s="1693"/>
    </row>
    <row r="280" spans="2:8" s="1704" customFormat="1" ht="12">
      <c r="B280" s="1705"/>
      <c r="C280" s="1702"/>
      <c r="D280" s="1702"/>
      <c r="E280" s="1691"/>
      <c r="F280" s="1718"/>
      <c r="G280" s="1714"/>
      <c r="H280" s="1693"/>
    </row>
    <row r="281" spans="2:8" s="1704" customFormat="1" ht="12">
      <c r="B281" s="1700">
        <v>7</v>
      </c>
      <c r="C281" s="1710" t="s">
        <v>190</v>
      </c>
      <c r="D281" s="1710"/>
      <c r="E281" s="1708"/>
      <c r="F281" s="1709"/>
      <c r="G281" s="1884"/>
      <c r="H281" s="1693"/>
    </row>
    <row r="282" spans="2:8" s="1704" customFormat="1" ht="12">
      <c r="B282" s="1705"/>
      <c r="C282" s="1702"/>
      <c r="D282" s="1702"/>
      <c r="E282" s="1691"/>
      <c r="F282" s="1706"/>
      <c r="G282" s="1714"/>
      <c r="H282" s="1693"/>
    </row>
    <row r="283" spans="2:8" s="1704" customFormat="1" ht="12">
      <c r="B283" s="1705"/>
      <c r="C283" s="1702"/>
      <c r="D283" s="1702" t="s">
        <v>2113</v>
      </c>
      <c r="E283" s="1691">
        <v>342339000</v>
      </c>
      <c r="F283" s="1706"/>
      <c r="G283" s="1714" t="s">
        <v>2114</v>
      </c>
      <c r="H283" s="1693"/>
    </row>
    <row r="284" spans="2:8" s="1704" customFormat="1" ht="12">
      <c r="B284" s="1705"/>
      <c r="C284" s="1702"/>
      <c r="D284" s="1702" t="s">
        <v>2113</v>
      </c>
      <c r="E284" s="1691">
        <v>1103304750</v>
      </c>
      <c r="F284" s="1706"/>
      <c r="G284" s="1714" t="s">
        <v>2115</v>
      </c>
      <c r="H284" s="1693"/>
    </row>
    <row r="285" spans="2:8" s="1704" customFormat="1" ht="12">
      <c r="B285" s="1705"/>
      <c r="C285" s="1702"/>
      <c r="D285" s="1702" t="s">
        <v>2116</v>
      </c>
      <c r="E285" s="1691">
        <v>350350000</v>
      </c>
      <c r="F285" s="1706"/>
      <c r="G285" s="1714" t="s">
        <v>2115</v>
      </c>
      <c r="H285" s="1693"/>
    </row>
    <row r="286" spans="2:8" s="1704" customFormat="1" ht="12">
      <c r="B286" s="1705"/>
      <c r="C286" s="1702"/>
      <c r="D286" s="1702" t="s">
        <v>2116</v>
      </c>
      <c r="E286" s="1691">
        <v>655520388</v>
      </c>
      <c r="F286" s="1706"/>
      <c r="G286" s="1714" t="s">
        <v>2114</v>
      </c>
      <c r="H286" s="1693"/>
    </row>
    <row r="287" spans="2:8" s="1704" customFormat="1" ht="12">
      <c r="B287" s="1705"/>
      <c r="C287" s="1702"/>
      <c r="D287" s="1702" t="s">
        <v>2117</v>
      </c>
      <c r="E287" s="1691">
        <v>55162500</v>
      </c>
      <c r="F287" s="1706"/>
      <c r="G287" s="1714" t="s">
        <v>2114</v>
      </c>
      <c r="H287" s="1693"/>
    </row>
    <row r="288" spans="2:8" s="1704" customFormat="1" ht="12">
      <c r="B288" s="1705"/>
      <c r="C288" s="1702"/>
      <c r="D288" s="1702" t="s">
        <v>2118</v>
      </c>
      <c r="E288" s="1691">
        <v>95106250</v>
      </c>
      <c r="F288" s="1706"/>
      <c r="G288" s="1714" t="s">
        <v>2114</v>
      </c>
      <c r="H288" s="1693"/>
    </row>
    <row r="289" spans="2:8" s="1704" customFormat="1" ht="12">
      <c r="B289" s="1705"/>
      <c r="C289" s="1702"/>
      <c r="D289" s="1702" t="s">
        <v>2117</v>
      </c>
      <c r="E289" s="1691">
        <v>46000000</v>
      </c>
      <c r="F289" s="1706"/>
      <c r="G289" s="1714" t="s">
        <v>2115</v>
      </c>
      <c r="H289" s="1693"/>
    </row>
    <row r="290" spans="2:8" s="1704" customFormat="1" ht="12">
      <c r="B290" s="1705"/>
      <c r="C290" s="1702"/>
      <c r="D290" s="1702" t="s">
        <v>2119</v>
      </c>
      <c r="E290" s="1691">
        <v>33000000</v>
      </c>
      <c r="F290" s="1706"/>
      <c r="G290" s="1714" t="s">
        <v>2114</v>
      </c>
      <c r="H290" s="1693"/>
    </row>
    <row r="291" spans="2:8" s="1704" customFormat="1" ht="12">
      <c r="B291" s="1705"/>
      <c r="C291" s="1702"/>
      <c r="D291" s="1702" t="s">
        <v>2120</v>
      </c>
      <c r="E291" s="1691">
        <v>4500000</v>
      </c>
      <c r="F291" s="1706"/>
      <c r="G291" s="1714" t="s">
        <v>2114</v>
      </c>
      <c r="H291" s="1693"/>
    </row>
    <row r="292" spans="2:8" s="1704" customFormat="1" ht="12">
      <c r="B292" s="1705"/>
      <c r="C292" s="1702"/>
      <c r="D292" s="1702" t="s">
        <v>2121</v>
      </c>
      <c r="E292" s="1691">
        <v>32700000</v>
      </c>
      <c r="F292" s="1706"/>
      <c r="G292" s="1714" t="s">
        <v>2114</v>
      </c>
      <c r="H292" s="1693"/>
    </row>
    <row r="293" spans="2:8" s="1704" customFormat="1" ht="12">
      <c r="B293" s="1705"/>
      <c r="C293" s="1702"/>
      <c r="D293" s="1702" t="s">
        <v>2122</v>
      </c>
      <c r="E293" s="1691">
        <v>3000000</v>
      </c>
      <c r="F293" s="1706"/>
      <c r="G293" s="1714" t="s">
        <v>2114</v>
      </c>
      <c r="H293" s="1693"/>
    </row>
    <row r="294" spans="2:8" s="1704" customFormat="1" ht="12">
      <c r="B294" s="1705"/>
      <c r="C294" s="1702"/>
      <c r="D294" s="1702" t="s">
        <v>2123</v>
      </c>
      <c r="E294" s="1691">
        <v>10450000</v>
      </c>
      <c r="F294" s="1706"/>
      <c r="G294" s="1714" t="s">
        <v>2114</v>
      </c>
      <c r="H294" s="1693"/>
    </row>
    <row r="295" spans="2:8" s="1704" customFormat="1" ht="12">
      <c r="B295" s="1705"/>
      <c r="C295" s="1702"/>
      <c r="D295" s="1702" t="s">
        <v>2009</v>
      </c>
      <c r="E295" s="1691">
        <v>13750000</v>
      </c>
      <c r="F295" s="1706"/>
      <c r="G295" s="1714" t="s">
        <v>2114</v>
      </c>
      <c r="H295" s="1693"/>
    </row>
    <row r="296" spans="2:8" s="1704" customFormat="1" ht="12">
      <c r="B296" s="1705"/>
      <c r="C296" s="1702"/>
      <c r="D296" s="1702" t="s">
        <v>2124</v>
      </c>
      <c r="E296" s="1691">
        <v>11000000</v>
      </c>
      <c r="F296" s="1706"/>
      <c r="G296" s="1714" t="s">
        <v>2114</v>
      </c>
      <c r="H296" s="1693"/>
    </row>
    <row r="297" spans="2:8" s="1704" customFormat="1" ht="12">
      <c r="B297" s="1705"/>
      <c r="C297" s="1702"/>
      <c r="D297" s="1702" t="s">
        <v>2109</v>
      </c>
      <c r="E297" s="1691">
        <v>17850000</v>
      </c>
      <c r="F297" s="1706"/>
      <c r="G297" s="1714" t="s">
        <v>2114</v>
      </c>
      <c r="H297" s="1693"/>
    </row>
    <row r="298" spans="2:8" s="1704" customFormat="1" ht="12">
      <c r="B298" s="1705"/>
      <c r="C298" s="1702"/>
      <c r="D298" s="1702" t="s">
        <v>2125</v>
      </c>
      <c r="E298" s="1691">
        <v>73680000</v>
      </c>
      <c r="F298" s="1706"/>
      <c r="G298" s="1714" t="s">
        <v>2114</v>
      </c>
      <c r="H298" s="1693"/>
    </row>
    <row r="299" spans="2:8" s="1704" customFormat="1" ht="12">
      <c r="B299" s="1705"/>
      <c r="C299" s="1702"/>
      <c r="D299" s="1702" t="s">
        <v>2126</v>
      </c>
      <c r="E299" s="1691">
        <v>5500000</v>
      </c>
      <c r="F299" s="1706"/>
      <c r="G299" s="1714" t="s">
        <v>2114</v>
      </c>
      <c r="H299" s="1693"/>
    </row>
    <row r="300" spans="2:8" s="1704" customFormat="1" ht="12">
      <c r="B300" s="1705"/>
      <c r="C300" s="1702"/>
      <c r="D300" s="1702" t="s">
        <v>2023</v>
      </c>
      <c r="E300" s="1691">
        <v>16740000</v>
      </c>
      <c r="F300" s="1706"/>
      <c r="G300" s="1714" t="s">
        <v>2114</v>
      </c>
      <c r="H300" s="1693"/>
    </row>
    <row r="301" spans="2:8" s="1704" customFormat="1" ht="12">
      <c r="B301" s="1705"/>
      <c r="C301" s="1702"/>
      <c r="D301" s="1702" t="s">
        <v>2026</v>
      </c>
      <c r="E301" s="1691">
        <v>42562500</v>
      </c>
      <c r="F301" s="1706"/>
      <c r="G301" s="1714" t="s">
        <v>2115</v>
      </c>
      <c r="H301" s="1693"/>
    </row>
    <row r="302" spans="2:8" s="1704" customFormat="1" ht="12">
      <c r="B302" s="1705"/>
      <c r="C302" s="1702"/>
      <c r="D302" s="1702" t="s">
        <v>2015</v>
      </c>
      <c r="E302" s="1691">
        <v>33250000</v>
      </c>
      <c r="F302" s="1706"/>
      <c r="G302" s="1714" t="s">
        <v>2115</v>
      </c>
      <c r="H302" s="1693"/>
    </row>
    <row r="303" spans="2:8" s="1704" customFormat="1" ht="12">
      <c r="B303" s="1705"/>
      <c r="C303" s="1702"/>
      <c r="D303" s="1702" t="s">
        <v>2009</v>
      </c>
      <c r="E303" s="1691">
        <v>28997500</v>
      </c>
      <c r="F303" s="1706"/>
      <c r="G303" s="1714" t="s">
        <v>2115</v>
      </c>
      <c r="H303" s="1693"/>
    </row>
    <row r="304" spans="2:8" s="1704" customFormat="1" ht="12">
      <c r="B304" s="1705"/>
      <c r="C304" s="1702"/>
      <c r="D304" s="1702" t="s">
        <v>2127</v>
      </c>
      <c r="E304" s="1691">
        <v>28500000</v>
      </c>
      <c r="F304" s="1706"/>
      <c r="G304" s="1714" t="s">
        <v>2115</v>
      </c>
      <c r="H304" s="1693"/>
    </row>
    <row r="305" spans="2:8" s="1704" customFormat="1" ht="12">
      <c r="B305" s="1705"/>
      <c r="C305" s="1702"/>
      <c r="D305" s="1702" t="s">
        <v>2128</v>
      </c>
      <c r="E305" s="1691">
        <v>12562500</v>
      </c>
      <c r="F305" s="1706"/>
      <c r="G305" s="1714" t="s">
        <v>2115</v>
      </c>
      <c r="H305" s="1693"/>
    </row>
    <row r="306" spans="2:8" s="1704" customFormat="1" ht="12">
      <c r="B306" s="1705"/>
      <c r="C306" s="1702"/>
      <c r="D306" s="1702" t="s">
        <v>2129</v>
      </c>
      <c r="E306" s="1691">
        <v>9454500</v>
      </c>
      <c r="F306" s="1706"/>
      <c r="G306" s="1714" t="s">
        <v>2115</v>
      </c>
      <c r="H306" s="1693"/>
    </row>
    <row r="307" spans="2:8" s="1704" customFormat="1" ht="12">
      <c r="B307" s="1705"/>
      <c r="C307" s="1702"/>
      <c r="D307" s="1702" t="s">
        <v>2130</v>
      </c>
      <c r="E307" s="1691">
        <v>73500000</v>
      </c>
      <c r="F307" s="1706"/>
      <c r="G307" s="1714" t="s">
        <v>2115</v>
      </c>
      <c r="H307" s="1693"/>
    </row>
    <row r="308" spans="2:8" s="1704" customFormat="1" ht="12">
      <c r="B308" s="1705"/>
      <c r="C308" s="1702"/>
      <c r="D308" s="1702" t="s">
        <v>2109</v>
      </c>
      <c r="E308" s="1691">
        <v>36425000</v>
      </c>
      <c r="F308" s="1706"/>
      <c r="G308" s="1714" t="s">
        <v>2115</v>
      </c>
      <c r="H308" s="1693"/>
    </row>
    <row r="309" spans="2:8" s="1704" customFormat="1" ht="12">
      <c r="B309" s="1705"/>
      <c r="C309" s="1702"/>
      <c r="D309" s="1702" t="s">
        <v>2125</v>
      </c>
      <c r="E309" s="1691">
        <v>26669350</v>
      </c>
      <c r="F309" s="1706"/>
      <c r="G309" s="1714" t="s">
        <v>2115</v>
      </c>
      <c r="H309" s="1693"/>
    </row>
    <row r="310" spans="2:8" s="1704" customFormat="1" ht="12">
      <c r="B310" s="1705"/>
      <c r="C310" s="1702"/>
      <c r="D310" s="1702" t="s">
        <v>2023</v>
      </c>
      <c r="E310" s="1691">
        <v>17325950</v>
      </c>
      <c r="F310" s="1706"/>
      <c r="G310" s="1714" t="s">
        <v>2115</v>
      </c>
      <c r="H310" s="1693"/>
    </row>
    <row r="311" spans="2:8" s="1704" customFormat="1" ht="12">
      <c r="B311" s="1705"/>
      <c r="C311" s="1702"/>
      <c r="D311" s="1702" t="s">
        <v>2126</v>
      </c>
      <c r="E311" s="1691">
        <v>5300300</v>
      </c>
      <c r="F311" s="1706"/>
      <c r="G311" s="1714" t="s">
        <v>2115</v>
      </c>
      <c r="H311" s="1693"/>
    </row>
    <row r="312" spans="2:8" s="1704" customFormat="1" ht="12">
      <c r="B312" s="1705"/>
      <c r="C312" s="1702"/>
      <c r="D312" s="1702" t="s">
        <v>2131</v>
      </c>
      <c r="E312" s="1691">
        <v>23175000</v>
      </c>
      <c r="F312" s="1706"/>
      <c r="G312" s="1714" t="s">
        <v>2114</v>
      </c>
      <c r="H312" s="1693"/>
    </row>
    <row r="313" spans="2:8" s="1704" customFormat="1" ht="12">
      <c r="B313" s="1705"/>
      <c r="C313" s="1702"/>
      <c r="D313" s="1702" t="s">
        <v>2132</v>
      </c>
      <c r="E313" s="1691">
        <v>8455000</v>
      </c>
      <c r="F313" s="1706"/>
      <c r="G313" s="1714" t="s">
        <v>2114</v>
      </c>
      <c r="H313" s="1693"/>
    </row>
    <row r="314" spans="2:8" s="1704" customFormat="1" ht="12">
      <c r="B314" s="1705"/>
      <c r="C314" s="1702"/>
      <c r="D314" s="1702" t="s">
        <v>2133</v>
      </c>
      <c r="E314" s="1691">
        <v>6813125</v>
      </c>
      <c r="F314" s="1706"/>
      <c r="G314" s="1714" t="s">
        <v>2114</v>
      </c>
      <c r="H314" s="1693"/>
    </row>
    <row r="315" spans="2:8" s="1704" customFormat="1" ht="12">
      <c r="B315" s="1705"/>
      <c r="C315" s="1702"/>
      <c r="D315" s="1702" t="s">
        <v>2131</v>
      </c>
      <c r="E315" s="1691">
        <v>44116800</v>
      </c>
      <c r="F315" s="1706"/>
      <c r="G315" s="1714" t="s">
        <v>2115</v>
      </c>
      <c r="H315" s="1693"/>
    </row>
    <row r="316" spans="2:8" s="1704" customFormat="1" ht="12">
      <c r="B316" s="1705"/>
      <c r="C316" s="1702"/>
      <c r="D316" s="1702" t="s">
        <v>2134</v>
      </c>
      <c r="E316" s="1691">
        <v>3930000</v>
      </c>
      <c r="F316" s="1706"/>
      <c r="G316" s="1714" t="s">
        <v>2115</v>
      </c>
      <c r="H316" s="1693"/>
    </row>
    <row r="317" spans="2:8" s="1704" customFormat="1" ht="12">
      <c r="B317" s="1705"/>
      <c r="C317" s="1702"/>
      <c r="D317" s="1702" t="s">
        <v>2135</v>
      </c>
      <c r="E317" s="1691">
        <v>870969000</v>
      </c>
      <c r="F317" s="1706"/>
      <c r="G317" s="1714" t="s">
        <v>2115</v>
      </c>
      <c r="H317" s="1693"/>
    </row>
    <row r="318" spans="2:8" s="1704" customFormat="1" ht="12">
      <c r="B318" s="1705"/>
      <c r="C318" s="1702"/>
      <c r="D318" s="1702" t="s">
        <v>2136</v>
      </c>
      <c r="E318" s="1691">
        <v>869600000</v>
      </c>
      <c r="F318" s="1706"/>
      <c r="G318" s="1714" t="s">
        <v>2115</v>
      </c>
      <c r="H318" s="1693"/>
    </row>
    <row r="319" spans="2:8" s="1704" customFormat="1" ht="12">
      <c r="B319" s="1705"/>
      <c r="C319" s="1702"/>
      <c r="D319" s="1702" t="s">
        <v>2137</v>
      </c>
      <c r="E319" s="1691">
        <v>870435000</v>
      </c>
      <c r="F319" s="1706"/>
      <c r="G319" s="1714" t="s">
        <v>2115</v>
      </c>
      <c r="H319" s="1693"/>
    </row>
    <row r="320" spans="2:8" s="1704" customFormat="1" ht="12">
      <c r="B320" s="1705"/>
      <c r="C320" s="1702"/>
      <c r="D320" s="1702" t="s">
        <v>2138</v>
      </c>
      <c r="E320" s="1691">
        <v>757187000</v>
      </c>
      <c r="F320" s="1706"/>
      <c r="G320" s="1714" t="s">
        <v>2114</v>
      </c>
      <c r="H320" s="1693"/>
    </row>
    <row r="321" spans="2:8" s="1704" customFormat="1" ht="12">
      <c r="B321" s="1705"/>
      <c r="C321" s="1702"/>
      <c r="D321" s="1702" t="s">
        <v>2139</v>
      </c>
      <c r="E321" s="1691">
        <v>980000</v>
      </c>
      <c r="F321" s="1706"/>
      <c r="G321" s="1714" t="s">
        <v>1725</v>
      </c>
      <c r="H321" s="1693"/>
    </row>
    <row r="322" spans="2:8" s="1704" customFormat="1" ht="48">
      <c r="B322" s="1705"/>
      <c r="C322" s="1702"/>
      <c r="D322" s="1702" t="s">
        <v>2140</v>
      </c>
      <c r="E322" s="1691">
        <v>360217500</v>
      </c>
      <c r="F322" s="1706"/>
      <c r="G322" s="1714" t="s">
        <v>2141</v>
      </c>
      <c r="H322" s="1693"/>
    </row>
    <row r="323" spans="2:8" s="1704" customFormat="1" ht="48">
      <c r="B323" s="1705"/>
      <c r="C323" s="1702"/>
      <c r="D323" s="1702" t="s">
        <v>2142</v>
      </c>
      <c r="E323" s="1691">
        <v>47000000</v>
      </c>
      <c r="F323" s="1706"/>
      <c r="G323" s="1714" t="s">
        <v>2141</v>
      </c>
      <c r="H323" s="1693"/>
    </row>
    <row r="324" spans="2:8" s="1704" customFormat="1" ht="48">
      <c r="B324" s="1705"/>
      <c r="C324" s="1702"/>
      <c r="D324" s="1702" t="s">
        <v>2143</v>
      </c>
      <c r="E324" s="1691">
        <v>22162500</v>
      </c>
      <c r="F324" s="1706"/>
      <c r="G324" s="1714" t="s">
        <v>2141</v>
      </c>
      <c r="H324" s="1693"/>
    </row>
    <row r="325" spans="2:8" s="1704" customFormat="1" ht="48">
      <c r="B325" s="1705"/>
      <c r="C325" s="1702"/>
      <c r="D325" s="1702" t="s">
        <v>2144</v>
      </c>
      <c r="E325" s="1691">
        <v>35706250</v>
      </c>
      <c r="F325" s="1706"/>
      <c r="G325" s="1714" t="s">
        <v>2141</v>
      </c>
      <c r="H325" s="1693"/>
    </row>
    <row r="326" spans="2:8" s="1704" customFormat="1" ht="48">
      <c r="B326" s="1705"/>
      <c r="C326" s="1702"/>
      <c r="D326" s="1702" t="s">
        <v>2009</v>
      </c>
      <c r="E326" s="1691">
        <v>4000000</v>
      </c>
      <c r="F326" s="1706"/>
      <c r="G326" s="1714" t="s">
        <v>2141</v>
      </c>
      <c r="H326" s="1693"/>
    </row>
    <row r="327" spans="2:8" s="1704" customFormat="1" ht="48">
      <c r="B327" s="1705"/>
      <c r="C327" s="1702"/>
      <c r="D327" s="1702" t="s">
        <v>2048</v>
      </c>
      <c r="E327" s="1691">
        <v>9000000</v>
      </c>
      <c r="F327" s="1706"/>
      <c r="G327" s="1714" t="s">
        <v>2141</v>
      </c>
      <c r="H327" s="1693"/>
    </row>
    <row r="328" spans="2:8" s="1704" customFormat="1" ht="48">
      <c r="B328" s="1705"/>
      <c r="C328" s="1702"/>
      <c r="D328" s="1702" t="s">
        <v>2123</v>
      </c>
      <c r="E328" s="1691">
        <v>7450000</v>
      </c>
      <c r="F328" s="1706"/>
      <c r="G328" s="1714" t="s">
        <v>2141</v>
      </c>
      <c r="H328" s="1693"/>
    </row>
    <row r="329" spans="2:8" s="1704" customFormat="1" ht="48">
      <c r="B329" s="1705"/>
      <c r="C329" s="1702"/>
      <c r="D329" s="1702" t="s">
        <v>2019</v>
      </c>
      <c r="E329" s="1691">
        <v>7965000</v>
      </c>
      <c r="F329" s="1706"/>
      <c r="G329" s="1714" t="s">
        <v>2141</v>
      </c>
      <c r="H329" s="1693"/>
    </row>
    <row r="330" spans="2:8" s="1704" customFormat="1" ht="12">
      <c r="B330" s="1705"/>
      <c r="C330" s="1702"/>
      <c r="D330" s="1702" t="s">
        <v>2019</v>
      </c>
      <c r="E330" s="1691">
        <v>7965000</v>
      </c>
      <c r="F330" s="1706"/>
      <c r="G330" s="1714"/>
      <c r="H330" s="1693"/>
    </row>
    <row r="331" spans="2:8" s="1704" customFormat="1" ht="36">
      <c r="B331" s="1705"/>
      <c r="C331" s="1702"/>
      <c r="D331" s="1702" t="s">
        <v>2019</v>
      </c>
      <c r="E331" s="1691">
        <v>17670730</v>
      </c>
      <c r="F331" s="1706"/>
      <c r="G331" s="1714" t="s">
        <v>2145</v>
      </c>
      <c r="H331" s="1693"/>
    </row>
    <row r="332" spans="2:8" s="1704" customFormat="1" ht="48">
      <c r="B332" s="1705"/>
      <c r="C332" s="1702"/>
      <c r="D332" s="1702" t="s">
        <v>2020</v>
      </c>
      <c r="E332" s="1691">
        <v>7950000</v>
      </c>
      <c r="F332" s="1706"/>
      <c r="G332" s="1714" t="s">
        <v>2141</v>
      </c>
      <c r="H332" s="1693"/>
    </row>
    <row r="333" spans="2:8" s="1704" customFormat="1" ht="48">
      <c r="B333" s="1705"/>
      <c r="C333" s="1702"/>
      <c r="D333" s="1702" t="s">
        <v>2023</v>
      </c>
      <c r="E333" s="1691">
        <v>3970000</v>
      </c>
      <c r="F333" s="1706"/>
      <c r="G333" s="1714" t="s">
        <v>2141</v>
      </c>
      <c r="H333" s="1693"/>
    </row>
    <row r="334" spans="2:8" s="1704" customFormat="1" ht="48">
      <c r="B334" s="1705"/>
      <c r="C334" s="1702"/>
      <c r="D334" s="1702" t="s">
        <v>2023</v>
      </c>
      <c r="E334" s="1691">
        <v>3970000</v>
      </c>
      <c r="F334" s="1706"/>
      <c r="G334" s="1714" t="s">
        <v>2141</v>
      </c>
      <c r="H334" s="1693"/>
    </row>
    <row r="335" spans="2:8" s="1704" customFormat="1" ht="48">
      <c r="B335" s="1705"/>
      <c r="C335" s="1702"/>
      <c r="D335" s="1702" t="s">
        <v>2146</v>
      </c>
      <c r="E335" s="1691">
        <v>980000</v>
      </c>
      <c r="F335" s="1706"/>
      <c r="G335" s="1714" t="s">
        <v>2141</v>
      </c>
      <c r="H335" s="1693"/>
    </row>
    <row r="336" spans="2:8" s="1704" customFormat="1" ht="48">
      <c r="B336" s="1705"/>
      <c r="C336" s="1702"/>
      <c r="D336" s="1702" t="s">
        <v>2026</v>
      </c>
      <c r="E336" s="1691">
        <v>4500000</v>
      </c>
      <c r="F336" s="1706"/>
      <c r="G336" s="1714" t="s">
        <v>2141</v>
      </c>
      <c r="H336" s="1693"/>
    </row>
    <row r="337" spans="2:8" s="1704" customFormat="1" ht="48">
      <c r="B337" s="1705"/>
      <c r="C337" s="1702"/>
      <c r="D337" s="1702" t="s">
        <v>2026</v>
      </c>
      <c r="E337" s="1691">
        <v>9000000</v>
      </c>
      <c r="F337" s="1706"/>
      <c r="G337" s="1714" t="s">
        <v>2141</v>
      </c>
      <c r="H337" s="1693"/>
    </row>
    <row r="338" spans="2:8" s="1704" customFormat="1" ht="48">
      <c r="B338" s="1705"/>
      <c r="C338" s="1702"/>
      <c r="D338" s="1702" t="s">
        <v>2028</v>
      </c>
      <c r="E338" s="1691">
        <v>13275000</v>
      </c>
      <c r="F338" s="1706"/>
      <c r="G338" s="1714" t="s">
        <v>2141</v>
      </c>
      <c r="H338" s="1693"/>
    </row>
    <row r="339" spans="2:8" s="1704" customFormat="1" ht="48">
      <c r="B339" s="1705"/>
      <c r="C339" s="1702"/>
      <c r="D339" s="1702" t="s">
        <v>2147</v>
      </c>
      <c r="E339" s="1691">
        <v>4063125</v>
      </c>
      <c r="F339" s="1706"/>
      <c r="G339" s="1714" t="s">
        <v>2141</v>
      </c>
      <c r="H339" s="1693"/>
    </row>
    <row r="340" spans="2:8" s="1704" customFormat="1" ht="48">
      <c r="B340" s="1705"/>
      <c r="C340" s="1702"/>
      <c r="D340" s="1702" t="s">
        <v>2148</v>
      </c>
      <c r="E340" s="1691">
        <v>2955000</v>
      </c>
      <c r="F340" s="1706"/>
      <c r="G340" s="1714" t="s">
        <v>2141</v>
      </c>
      <c r="H340" s="1693"/>
    </row>
    <row r="341" spans="2:8" s="1704" customFormat="1" ht="48">
      <c r="B341" s="1705"/>
      <c r="C341" s="1702"/>
      <c r="D341" s="1702" t="s">
        <v>2149</v>
      </c>
      <c r="E341" s="1691">
        <v>798775000</v>
      </c>
      <c r="F341" s="1706"/>
      <c r="G341" s="1714" t="s">
        <v>2141</v>
      </c>
      <c r="H341" s="1693"/>
    </row>
    <row r="342" spans="2:8" s="1704" customFormat="1" ht="12">
      <c r="B342" s="1705"/>
      <c r="C342" s="1702"/>
      <c r="D342" s="1702"/>
      <c r="E342" s="1691"/>
      <c r="F342" s="1706"/>
      <c r="G342" s="1714"/>
      <c r="H342" s="1693"/>
    </row>
    <row r="343" spans="2:8" s="1704" customFormat="1" ht="12">
      <c r="B343" s="2200" t="s">
        <v>197</v>
      </c>
      <c r="C343" s="2201"/>
      <c r="D343" s="2202"/>
      <c r="E343" s="1708">
        <f>SUM(E283:E342)</f>
        <v>8008736518</v>
      </c>
      <c r="F343" s="1709"/>
      <c r="G343" s="1884"/>
      <c r="H343" s="1693"/>
    </row>
    <row r="344" spans="2:8" s="1704" customFormat="1" ht="12">
      <c r="B344" s="1705"/>
      <c r="C344" s="1702"/>
      <c r="D344" s="1702"/>
      <c r="E344" s="1691"/>
      <c r="F344" s="1706"/>
      <c r="G344" s="1714"/>
      <c r="H344" s="1693"/>
    </row>
    <row r="345" spans="2:8" s="1704" customFormat="1" ht="12">
      <c r="B345" s="1700">
        <v>8</v>
      </c>
      <c r="C345" s="1710" t="s">
        <v>193</v>
      </c>
      <c r="D345" s="1710"/>
      <c r="E345" s="1708"/>
      <c r="F345" s="1709"/>
      <c r="G345" s="1884"/>
      <c r="H345" s="1693"/>
    </row>
    <row r="346" spans="2:8" s="1704" customFormat="1" ht="12">
      <c r="B346" s="1705"/>
      <c r="C346" s="1702"/>
      <c r="D346" s="1702"/>
      <c r="E346" s="1691"/>
      <c r="F346" s="1706"/>
      <c r="G346" s="1714"/>
      <c r="H346" s="1693"/>
    </row>
    <row r="347" spans="2:8" s="1719" customFormat="1">
      <c r="B347" s="1705"/>
      <c r="C347" s="1702"/>
      <c r="D347" s="1702" t="s">
        <v>2150</v>
      </c>
      <c r="E347" s="1691">
        <v>9950000</v>
      </c>
      <c r="F347" s="1706"/>
      <c r="G347" s="1714" t="s">
        <v>2151</v>
      </c>
      <c r="H347" s="1678"/>
    </row>
    <row r="348" spans="2:8" s="1719" customFormat="1" ht="11.25" customHeight="1">
      <c r="B348" s="1705"/>
      <c r="C348" s="1702"/>
      <c r="D348" s="1702" t="s">
        <v>2152</v>
      </c>
      <c r="E348" s="1691">
        <v>10000000</v>
      </c>
      <c r="F348" s="1706"/>
      <c r="G348" s="1714" t="s">
        <v>2151</v>
      </c>
      <c r="H348" s="1678"/>
    </row>
    <row r="349" spans="2:8" s="1719" customFormat="1" hidden="1">
      <c r="B349" s="1705"/>
      <c r="C349" s="1702"/>
      <c r="D349" s="1702"/>
      <c r="E349" s="1691"/>
      <c r="F349" s="1706"/>
      <c r="G349" s="1714"/>
      <c r="H349" s="1678"/>
    </row>
    <row r="350" spans="2:8" s="1719" customFormat="1" hidden="1">
      <c r="B350" s="1705"/>
      <c r="C350" s="1702"/>
      <c r="D350" s="1702"/>
      <c r="E350" s="1691"/>
      <c r="F350" s="1706"/>
      <c r="G350" s="1714"/>
      <c r="H350" s="1678"/>
    </row>
    <row r="351" spans="2:8" s="1719" customFormat="1">
      <c r="B351" s="2200" t="s">
        <v>197</v>
      </c>
      <c r="C351" s="2201"/>
      <c r="D351" s="2202"/>
      <c r="E351" s="1708">
        <f>SUM(E347:E350)</f>
        <v>19950000</v>
      </c>
      <c r="F351" s="1709"/>
      <c r="G351" s="1884"/>
      <c r="H351" s="1693"/>
    </row>
    <row r="352" spans="2:8" s="1719" customFormat="1">
      <c r="B352" s="1720"/>
      <c r="C352" s="1721"/>
      <c r="D352" s="1722"/>
      <c r="E352" s="1723"/>
      <c r="F352" s="1703"/>
      <c r="G352" s="1887"/>
      <c r="H352" s="1678"/>
    </row>
    <row r="353" spans="2:8" s="1719" customFormat="1">
      <c r="B353" s="1705">
        <v>9</v>
      </c>
      <c r="C353" s="1710" t="s">
        <v>179</v>
      </c>
      <c r="D353" s="1711"/>
      <c r="E353" s="1712"/>
      <c r="F353" s="1713"/>
      <c r="G353" s="1885"/>
      <c r="H353" s="1678"/>
    </row>
    <row r="354" spans="2:8" s="1719" customFormat="1">
      <c r="B354" s="1705"/>
      <c r="C354" s="1702" t="s">
        <v>926</v>
      </c>
      <c r="D354" s="1702"/>
      <c r="E354" s="1691"/>
      <c r="F354" s="1706"/>
      <c r="G354" s="1714"/>
      <c r="H354" s="1678"/>
    </row>
    <row r="355" spans="2:8" s="1719" customFormat="1" ht="48">
      <c r="B355" s="1705"/>
      <c r="C355" s="1702"/>
      <c r="D355" s="1702" t="s">
        <v>2153</v>
      </c>
      <c r="E355" s="1691">
        <v>126000000</v>
      </c>
      <c r="F355" s="1706"/>
      <c r="G355" s="1714" t="s">
        <v>2154</v>
      </c>
      <c r="H355" s="1678"/>
    </row>
    <row r="356" spans="2:8" s="1719" customFormat="1" ht="36">
      <c r="B356" s="1724"/>
      <c r="C356" s="1725"/>
      <c r="D356" s="1725" t="s">
        <v>2155</v>
      </c>
      <c r="E356" s="1726">
        <v>11245000</v>
      </c>
      <c r="F356" s="1727"/>
      <c r="G356" s="1888" t="s">
        <v>2156</v>
      </c>
      <c r="H356" s="1678"/>
    </row>
    <row r="357" spans="2:8" s="1719" customFormat="1">
      <c r="B357" s="2200" t="s">
        <v>197</v>
      </c>
      <c r="C357" s="2201"/>
      <c r="D357" s="2202"/>
      <c r="E357" s="1708">
        <f>SUM(E354:E356)</f>
        <v>137245000</v>
      </c>
      <c r="F357" s="1709"/>
      <c r="G357" s="1884"/>
      <c r="H357" s="1693"/>
    </row>
    <row r="358" spans="2:8" s="1719" customFormat="1">
      <c r="B358" s="1728"/>
      <c r="C358" s="1729"/>
      <c r="D358" s="1730"/>
      <c r="E358" s="1708"/>
      <c r="F358" s="1709"/>
      <c r="G358" s="1884"/>
      <c r="H358" s="1678"/>
    </row>
    <row r="359" spans="2:8" s="1719" customFormat="1">
      <c r="B359" s="1705">
        <v>10</v>
      </c>
      <c r="C359" s="1710" t="s">
        <v>189</v>
      </c>
      <c r="D359" s="1711"/>
      <c r="E359" s="1712"/>
      <c r="F359" s="1713"/>
      <c r="G359" s="1885"/>
      <c r="H359" s="1678"/>
    </row>
    <row r="360" spans="2:8" s="1719" customFormat="1">
      <c r="B360" s="1705"/>
      <c r="C360" s="1702"/>
      <c r="D360" s="1702"/>
      <c r="E360" s="1691"/>
      <c r="F360" s="1706"/>
      <c r="G360" s="1714"/>
      <c r="H360" s="1678"/>
    </row>
    <row r="361" spans="2:8" s="1733" customFormat="1" ht="24">
      <c r="B361" s="1705"/>
      <c r="C361" s="1702"/>
      <c r="D361" s="1731" t="s">
        <v>2157</v>
      </c>
      <c r="E361" s="1732">
        <v>275115625</v>
      </c>
      <c r="F361" s="1706"/>
      <c r="G361" s="1714" t="s">
        <v>2158</v>
      </c>
      <c r="H361" s="1678"/>
    </row>
    <row r="362" spans="2:8" s="1719" customFormat="1" ht="24">
      <c r="B362" s="1705"/>
      <c r="C362" s="1702"/>
      <c r="D362" s="1734" t="s">
        <v>2157</v>
      </c>
      <c r="E362" s="1732">
        <v>275115625</v>
      </c>
      <c r="F362" s="1706"/>
      <c r="G362" s="1714" t="s">
        <v>2158</v>
      </c>
      <c r="H362" s="1678"/>
    </row>
    <row r="363" spans="2:8" s="1719" customFormat="1">
      <c r="B363" s="1724"/>
      <c r="C363" s="1725"/>
      <c r="D363" s="1725" t="s">
        <v>2159</v>
      </c>
      <c r="E363" s="1726">
        <v>1360320000</v>
      </c>
      <c r="F363" s="1727"/>
      <c r="G363" s="1888" t="s">
        <v>2160</v>
      </c>
      <c r="H363" s="1678"/>
    </row>
    <row r="364" spans="2:8" s="1719" customFormat="1">
      <c r="B364" s="2200" t="s">
        <v>197</v>
      </c>
      <c r="C364" s="2201"/>
      <c r="D364" s="2202"/>
      <c r="E364" s="1708">
        <f>SUM(E359:E363)</f>
        <v>1910551250</v>
      </c>
      <c r="F364" s="1709"/>
      <c r="G364" s="1884"/>
      <c r="H364" s="1693"/>
    </row>
    <row r="365" spans="2:8">
      <c r="B365" s="1735"/>
      <c r="C365" s="1736"/>
      <c r="D365" s="1737"/>
      <c r="E365" s="1684"/>
      <c r="F365" s="1685"/>
      <c r="G365" s="1883"/>
    </row>
    <row r="366" spans="2:8">
      <c r="B366" s="1735"/>
      <c r="C366" s="1736"/>
      <c r="D366" s="1737"/>
      <c r="E366" s="1684"/>
      <c r="F366" s="1685"/>
      <c r="G366" s="1880"/>
    </row>
    <row r="367" spans="2:8">
      <c r="B367" s="2203" t="s">
        <v>1991</v>
      </c>
      <c r="C367" s="2204"/>
      <c r="D367" s="2205"/>
      <c r="E367" s="1738">
        <f>SUM(E22+E29+E186+E192+E263+E279+E343+E351+E357+E364)</f>
        <v>52879261475.540001</v>
      </c>
      <c r="F367" s="1739"/>
      <c r="G367" s="1889"/>
      <c r="H367" s="1740"/>
    </row>
    <row r="368" spans="2:8" ht="13.5" thickBot="1">
      <c r="B368" s="1741"/>
      <c r="C368" s="1742"/>
      <c r="D368" s="1742"/>
      <c r="E368" s="1743"/>
      <c r="F368" s="1744"/>
      <c r="G368" s="1890"/>
    </row>
    <row r="370" spans="6:6">
      <c r="F370" s="1746"/>
    </row>
  </sheetData>
  <mergeCells count="14">
    <mergeCell ref="B186:D186"/>
    <mergeCell ref="B1:G1"/>
    <mergeCell ref="B2:G2"/>
    <mergeCell ref="B3:G3"/>
    <mergeCell ref="B22:D22"/>
    <mergeCell ref="B29:D29"/>
    <mergeCell ref="B364:D364"/>
    <mergeCell ref="B367:D367"/>
    <mergeCell ref="B192:D192"/>
    <mergeCell ref="B263:D263"/>
    <mergeCell ref="B279:D279"/>
    <mergeCell ref="B343:D343"/>
    <mergeCell ref="B351:D351"/>
    <mergeCell ref="B357:D357"/>
  </mergeCells>
  <pageMargins left="1.2598425196850394" right="0.11811023622047245" top="0.47244094488188981" bottom="0.74803149606299213" header="0.31496062992125984" footer="0.31496062992125984"/>
  <pageSetup scale="65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>
  <sheetPr>
    <tabColor rgb="FF00B0F0"/>
  </sheetPr>
  <dimension ref="B2:AP67"/>
  <sheetViews>
    <sheetView topLeftCell="AF1" zoomScaleSheetLayoutView="100" workbookViewId="0">
      <selection activeCell="AN5" sqref="AN5"/>
    </sheetView>
  </sheetViews>
  <sheetFormatPr defaultColWidth="9.140625" defaultRowHeight="11.25"/>
  <cols>
    <col min="1" max="1" width="0.140625" style="1749" customWidth="1"/>
    <col min="2" max="2" width="80.140625" style="1751" bestFit="1" customWidth="1"/>
    <col min="3" max="3" width="20.28515625" style="1749" bestFit="1" customWidth="1"/>
    <col min="4" max="4" width="18.85546875" style="1749" bestFit="1" customWidth="1"/>
    <col min="5" max="5" width="21" style="1749" bestFit="1" customWidth="1"/>
    <col min="6" max="6" width="19.140625" style="1749" bestFit="1" customWidth="1"/>
    <col min="7" max="7" width="24.7109375" style="1749" bestFit="1" customWidth="1"/>
    <col min="8" max="8" width="19.42578125" style="1749" bestFit="1" customWidth="1"/>
    <col min="9" max="9" width="18.7109375" style="1749" bestFit="1" customWidth="1"/>
    <col min="10" max="10" width="21.7109375" style="1749" bestFit="1" customWidth="1"/>
    <col min="11" max="11" width="20" style="1749" bestFit="1" customWidth="1"/>
    <col min="12" max="14" width="18.7109375" style="1749" bestFit="1" customWidth="1"/>
    <col min="15" max="15" width="21" style="1749" bestFit="1" customWidth="1"/>
    <col min="16" max="17" width="18.7109375" style="1749" bestFit="1" customWidth="1"/>
    <col min="18" max="18" width="20.140625" style="1749" bestFit="1" customWidth="1"/>
    <col min="19" max="19" width="20.42578125" style="1749" bestFit="1" customWidth="1"/>
    <col min="20" max="20" width="18.7109375" style="1749" bestFit="1" customWidth="1"/>
    <col min="21" max="21" width="23.140625" style="1749" bestFit="1" customWidth="1"/>
    <col min="22" max="22" width="21.42578125" style="1753" bestFit="1" customWidth="1"/>
    <col min="23" max="24" width="18.7109375" style="1754" bestFit="1" customWidth="1"/>
    <col min="25" max="25" width="21.5703125" style="1754" bestFit="1" customWidth="1"/>
    <col min="26" max="26" width="19.140625" style="1749" bestFit="1" customWidth="1"/>
    <col min="27" max="27" width="19.7109375" style="1749" bestFit="1" customWidth="1"/>
    <col min="28" max="28" width="18.7109375" style="1749" bestFit="1" customWidth="1"/>
    <col min="29" max="29" width="21.7109375" style="1749" bestFit="1" customWidth="1"/>
    <col min="30" max="30" width="18.7109375" style="1749" bestFit="1" customWidth="1"/>
    <col min="31" max="32" width="20.5703125" style="1749" bestFit="1" customWidth="1"/>
    <col min="33" max="33" width="18.7109375" style="1749" bestFit="1" customWidth="1"/>
    <col min="34" max="34" width="20.28515625" style="1749" bestFit="1" customWidth="1"/>
    <col min="35" max="35" width="20" style="1749" bestFit="1" customWidth="1"/>
    <col min="36" max="36" width="19.140625" style="1749" bestFit="1" customWidth="1"/>
    <col min="37" max="37" width="18.7109375" style="1749" bestFit="1" customWidth="1"/>
    <col min="38" max="38" width="19.7109375" style="1749" bestFit="1" customWidth="1"/>
    <col min="39" max="39" width="22.28515625" style="1749" bestFit="1" customWidth="1"/>
    <col min="40" max="40" width="21.42578125" style="1749" bestFit="1" customWidth="1"/>
    <col min="41" max="41" width="17.42578125" style="1749" bestFit="1" customWidth="1"/>
    <col min="42" max="42" width="12.7109375" style="1749" bestFit="1" customWidth="1"/>
    <col min="43" max="16384" width="9.140625" style="1749"/>
  </cols>
  <sheetData>
    <row r="2" spans="2:42" ht="15.75">
      <c r="B2" s="2214" t="s">
        <v>0</v>
      </c>
      <c r="C2" s="2214"/>
      <c r="D2" s="2214"/>
      <c r="E2" s="2214"/>
      <c r="F2" s="2214"/>
      <c r="G2" s="2214"/>
      <c r="H2" s="2214"/>
      <c r="I2" s="2214"/>
      <c r="J2" s="2214"/>
      <c r="K2" s="2214"/>
      <c r="L2" s="2214"/>
      <c r="M2" s="1926"/>
      <c r="N2" s="1926"/>
      <c r="O2" s="1926"/>
      <c r="P2" s="1926"/>
      <c r="Q2" s="1926"/>
      <c r="R2" s="1926"/>
      <c r="S2" s="1926"/>
      <c r="T2" s="1926"/>
      <c r="U2" s="1926"/>
      <c r="V2" s="1926"/>
      <c r="W2" s="1926"/>
      <c r="X2" s="1926"/>
      <c r="Y2" s="1926"/>
      <c r="Z2" s="1926"/>
      <c r="AA2" s="1926"/>
      <c r="AB2" s="1926"/>
      <c r="AC2" s="1926"/>
      <c r="AD2" s="1926"/>
      <c r="AE2" s="1926"/>
      <c r="AF2" s="1926"/>
      <c r="AG2" s="1926"/>
      <c r="AH2" s="1926"/>
      <c r="AI2" s="1926"/>
      <c r="AJ2" s="1926"/>
      <c r="AK2" s="1926"/>
      <c r="AL2" s="1926"/>
      <c r="AM2" s="1926"/>
      <c r="AN2" s="1926"/>
    </row>
    <row r="3" spans="2:42" ht="15.75">
      <c r="B3" s="2214" t="s">
        <v>2161</v>
      </c>
      <c r="C3" s="2214"/>
      <c r="D3" s="2214"/>
      <c r="E3" s="2214"/>
      <c r="F3" s="2214"/>
      <c r="G3" s="2214"/>
      <c r="H3" s="2214"/>
      <c r="I3" s="2214"/>
      <c r="J3" s="2214"/>
      <c r="K3" s="2214"/>
      <c r="L3" s="2214"/>
      <c r="M3" s="1926"/>
      <c r="N3" s="1926"/>
      <c r="O3" s="1926"/>
      <c r="P3" s="1926"/>
      <c r="Q3" s="1926"/>
      <c r="R3" s="1926"/>
      <c r="S3" s="1926"/>
      <c r="T3" s="1926"/>
      <c r="U3" s="1926"/>
      <c r="V3" s="1926"/>
      <c r="W3" s="1926"/>
      <c r="X3" s="1926"/>
      <c r="Y3" s="1926"/>
      <c r="Z3" s="1926"/>
      <c r="AA3" s="1926"/>
      <c r="AB3" s="1926"/>
      <c r="AC3" s="1926"/>
      <c r="AD3" s="1926"/>
      <c r="AE3" s="1926"/>
      <c r="AF3" s="1926"/>
      <c r="AG3" s="1926"/>
      <c r="AH3" s="1926"/>
      <c r="AI3" s="1926"/>
      <c r="AJ3" s="1926"/>
      <c r="AK3" s="1926"/>
      <c r="AL3" s="1926"/>
      <c r="AM3" s="1926"/>
      <c r="AN3" s="1926"/>
    </row>
    <row r="4" spans="2:42" ht="15.75">
      <c r="B4" s="1750"/>
      <c r="C4" s="1750"/>
      <c r="D4" s="1750"/>
      <c r="E4" s="1750"/>
      <c r="F4" s="1750"/>
      <c r="G4" s="1750"/>
      <c r="H4" s="1750"/>
      <c r="I4" s="1750"/>
      <c r="J4" s="1750"/>
      <c r="K4" s="1750"/>
      <c r="L4" s="1750"/>
      <c r="M4" s="1750"/>
      <c r="N4" s="1750"/>
      <c r="O4" s="1750"/>
      <c r="P4" s="1750"/>
      <c r="Q4" s="1750"/>
      <c r="R4" s="1750"/>
      <c r="S4" s="1750"/>
      <c r="T4" s="1750"/>
      <c r="U4" s="1750"/>
      <c r="V4" s="1750"/>
      <c r="W4" s="1750"/>
      <c r="X4" s="1750"/>
      <c r="Y4" s="1750"/>
      <c r="Z4" s="1750"/>
      <c r="AA4" s="1750"/>
      <c r="AB4" s="1750"/>
      <c r="AC4" s="1750"/>
      <c r="AD4" s="1750"/>
      <c r="AE4" s="1750"/>
      <c r="AF4" s="1750"/>
      <c r="AG4" s="1750"/>
      <c r="AH4" s="1750"/>
      <c r="AI4" s="1750"/>
      <c r="AJ4" s="1750"/>
      <c r="AK4" s="1750"/>
      <c r="AL4" s="1750"/>
      <c r="AM4" s="1750"/>
      <c r="AN4" s="1750"/>
    </row>
    <row r="5" spans="2:42">
      <c r="E5" s="1752"/>
      <c r="L5" s="7" t="s">
        <v>2162</v>
      </c>
      <c r="AN5" s="7"/>
    </row>
    <row r="6" spans="2:42" s="1758" customFormat="1" ht="76.5">
      <c r="B6" s="1755" t="s">
        <v>114</v>
      </c>
      <c r="C6" s="1756" t="s">
        <v>155</v>
      </c>
      <c r="D6" s="1755" t="s">
        <v>156</v>
      </c>
      <c r="E6" s="1757" t="s">
        <v>1763</v>
      </c>
      <c r="F6" s="1757" t="s">
        <v>158</v>
      </c>
      <c r="G6" s="1757" t="s">
        <v>159</v>
      </c>
      <c r="H6" s="1757" t="s">
        <v>160</v>
      </c>
      <c r="I6" s="1757" t="s">
        <v>172</v>
      </c>
      <c r="J6" s="1757" t="s">
        <v>173</v>
      </c>
      <c r="K6" s="1757" t="s">
        <v>1373</v>
      </c>
      <c r="L6" s="1757" t="s">
        <v>166</v>
      </c>
      <c r="M6" s="1757" t="s">
        <v>1286</v>
      </c>
      <c r="N6" s="1757" t="s">
        <v>1867</v>
      </c>
      <c r="O6" s="1757" t="s">
        <v>185</v>
      </c>
      <c r="P6" s="1757" t="s">
        <v>1262</v>
      </c>
      <c r="Q6" s="1757" t="s">
        <v>2163</v>
      </c>
      <c r="R6" s="1757" t="s">
        <v>162</v>
      </c>
      <c r="S6" s="1757" t="s">
        <v>188</v>
      </c>
      <c r="T6" s="1757" t="s">
        <v>168</v>
      </c>
      <c r="U6" s="1757" t="s">
        <v>169</v>
      </c>
      <c r="V6" s="1757" t="s">
        <v>171</v>
      </c>
      <c r="W6" s="1757" t="s">
        <v>170</v>
      </c>
      <c r="X6" s="1757" t="s">
        <v>1253</v>
      </c>
      <c r="Y6" s="1757" t="s">
        <v>192</v>
      </c>
      <c r="Z6" s="1757" t="s">
        <v>189</v>
      </c>
      <c r="AA6" s="1757" t="s">
        <v>190</v>
      </c>
      <c r="AB6" s="1757" t="s">
        <v>191</v>
      </c>
      <c r="AC6" s="1757" t="s">
        <v>193</v>
      </c>
      <c r="AD6" s="1757" t="s">
        <v>161</v>
      </c>
      <c r="AE6" s="1757" t="s">
        <v>179</v>
      </c>
      <c r="AF6" s="1757" t="s">
        <v>181</v>
      </c>
      <c r="AG6" s="1757" t="s">
        <v>184</v>
      </c>
      <c r="AH6" s="1757" t="s">
        <v>182</v>
      </c>
      <c r="AI6" s="1757" t="s">
        <v>176</v>
      </c>
      <c r="AJ6" s="1757" t="s">
        <v>177</v>
      </c>
      <c r="AK6" s="1757" t="s">
        <v>183</v>
      </c>
      <c r="AL6" s="1757" t="s">
        <v>2164</v>
      </c>
      <c r="AM6" s="1757" t="s">
        <v>2165</v>
      </c>
      <c r="AN6" s="1755" t="s">
        <v>197</v>
      </c>
    </row>
    <row r="7" spans="2:42" s="1763" customFormat="1" ht="12.75">
      <c r="B7" s="1759"/>
      <c r="C7" s="1760"/>
      <c r="D7" s="1760"/>
      <c r="E7" s="1760"/>
      <c r="F7" s="1761"/>
      <c r="G7" s="1761"/>
      <c r="H7" s="1761"/>
      <c r="I7" s="1761"/>
      <c r="J7" s="1761"/>
      <c r="K7" s="1761"/>
      <c r="L7" s="1761"/>
      <c r="M7" s="1761"/>
      <c r="N7" s="1761"/>
      <c r="O7" s="1761"/>
      <c r="P7" s="1761"/>
      <c r="Q7" s="1761"/>
      <c r="R7" s="1761"/>
      <c r="S7" s="1761"/>
      <c r="T7" s="1761"/>
      <c r="U7" s="1761"/>
      <c r="V7" s="1761"/>
      <c r="W7" s="1761"/>
      <c r="X7" s="1761"/>
      <c r="Y7" s="1761"/>
      <c r="Z7" s="1761"/>
      <c r="AA7" s="1761"/>
      <c r="AB7" s="1761"/>
      <c r="AC7" s="1761"/>
      <c r="AD7" s="1761"/>
      <c r="AE7" s="1761"/>
      <c r="AF7" s="1761"/>
      <c r="AG7" s="1761"/>
      <c r="AH7" s="1761"/>
      <c r="AI7" s="1761"/>
      <c r="AJ7" s="1761"/>
      <c r="AK7" s="1761"/>
      <c r="AL7" s="1761"/>
      <c r="AM7" s="1761"/>
      <c r="AN7" s="1762"/>
    </row>
    <row r="8" spans="2:42" s="1763" customFormat="1" ht="12.75">
      <c r="B8" s="1764" t="s">
        <v>2166</v>
      </c>
      <c r="C8" s="1765">
        <v>528697456425.04999</v>
      </c>
      <c r="D8" s="1765">
        <v>24548758135.170002</v>
      </c>
      <c r="E8" s="1765">
        <v>231671617684.28</v>
      </c>
      <c r="F8" s="1766">
        <v>36917034117.75</v>
      </c>
      <c r="G8" s="1766">
        <v>1913400346211.6301</v>
      </c>
      <c r="H8" s="1766">
        <v>9885769032.9200001</v>
      </c>
      <c r="I8" s="1766">
        <v>3446689008</v>
      </c>
      <c r="J8" s="1766">
        <v>2035445982</v>
      </c>
      <c r="K8" s="1766">
        <v>16459512938</v>
      </c>
      <c r="L8" s="1766">
        <v>10595107032</v>
      </c>
      <c r="M8" s="1766">
        <v>33791984962</v>
      </c>
      <c r="N8" s="1766">
        <v>541456192</v>
      </c>
      <c r="O8" s="1766">
        <v>637101295</v>
      </c>
      <c r="P8" s="1766">
        <v>7896114926</v>
      </c>
      <c r="Q8" s="1766">
        <v>2179645465</v>
      </c>
      <c r="R8" s="1766">
        <v>89558032603.360001</v>
      </c>
      <c r="S8" s="1766">
        <v>10385125020</v>
      </c>
      <c r="T8" s="1766">
        <v>15671169866</v>
      </c>
      <c r="U8" s="1766">
        <v>3187008566</v>
      </c>
      <c r="V8" s="1766">
        <v>109274682068</v>
      </c>
      <c r="W8" s="1766">
        <v>7163072907</v>
      </c>
      <c r="X8" s="1766">
        <v>4534418146</v>
      </c>
      <c r="Y8" s="1766">
        <v>118314475658.2</v>
      </c>
      <c r="Z8" s="1766">
        <v>34627697142</v>
      </c>
      <c r="AA8" s="1765">
        <v>5678634834.9000006</v>
      </c>
      <c r="AB8" s="1766">
        <v>40870273858</v>
      </c>
      <c r="AC8" s="1766">
        <v>7728573200.5</v>
      </c>
      <c r="AD8" s="1766">
        <v>12493913226</v>
      </c>
      <c r="AE8" s="1766">
        <v>45738692376.800003</v>
      </c>
      <c r="AF8" s="1766">
        <v>102615693845.36</v>
      </c>
      <c r="AG8" s="1766">
        <v>19600501728</v>
      </c>
      <c r="AH8" s="1766">
        <v>3709566508</v>
      </c>
      <c r="AI8" s="1766">
        <v>423981949942</v>
      </c>
      <c r="AJ8" s="1766">
        <v>33064341293</v>
      </c>
      <c r="AK8" s="1766">
        <v>11742630761</v>
      </c>
      <c r="AL8" s="1766">
        <v>0</v>
      </c>
      <c r="AM8" s="1766">
        <v>0</v>
      </c>
      <c r="AN8" s="1765">
        <f>SUM(C8:AM8)</f>
        <v>3922644492956.9194</v>
      </c>
    </row>
    <row r="9" spans="2:42" s="1769" customFormat="1" ht="12.75">
      <c r="B9" s="1764" t="s">
        <v>2167</v>
      </c>
      <c r="C9" s="1765">
        <v>-415017559325.48175</v>
      </c>
      <c r="D9" s="1765">
        <v>-52332960232.840004</v>
      </c>
      <c r="E9" s="1765">
        <v>-87621770185.339996</v>
      </c>
      <c r="F9" s="1765">
        <v>-40889172985.650002</v>
      </c>
      <c r="G9" s="1765">
        <v>-299717794546.12</v>
      </c>
      <c r="H9" s="1765">
        <v>-9715455193</v>
      </c>
      <c r="I9" s="1765">
        <v>-9062078687</v>
      </c>
      <c r="J9" s="1765">
        <v>-17854348166</v>
      </c>
      <c r="K9" s="1765">
        <v>-11739818117</v>
      </c>
      <c r="L9" s="1765">
        <v>-17315201877</v>
      </c>
      <c r="M9" s="1765">
        <v>-17456029305</v>
      </c>
      <c r="N9" s="1765">
        <v>-12087484931</v>
      </c>
      <c r="O9" s="1765">
        <v>-9061856525</v>
      </c>
      <c r="P9" s="1765">
        <v>-12202776029.5</v>
      </c>
      <c r="Q9" s="1765">
        <v>-12208891865</v>
      </c>
      <c r="R9" s="1765">
        <v>-23113104550</v>
      </c>
      <c r="S9" s="1765">
        <v>-15945356456</v>
      </c>
      <c r="T9" s="1765">
        <v>-17107212958</v>
      </c>
      <c r="U9" s="1765">
        <v>-9352325173</v>
      </c>
      <c r="V9" s="1765">
        <v>-17966336847</v>
      </c>
      <c r="W9" s="1765">
        <v>-20721882445.166698</v>
      </c>
      <c r="X9" s="1765">
        <v>-10911799535</v>
      </c>
      <c r="Y9" s="1765">
        <v>-27491045933.330002</v>
      </c>
      <c r="Z9" s="1765">
        <v>-35514305817</v>
      </c>
      <c r="AA9" s="1765">
        <v>-22343343851</v>
      </c>
      <c r="AB9" s="1765">
        <v>-22187675612</v>
      </c>
      <c r="AC9" s="1765">
        <v>-22493862536</v>
      </c>
      <c r="AD9" s="1765">
        <v>-17823343365</v>
      </c>
      <c r="AE9" s="1765">
        <v>748283775494.52002</v>
      </c>
      <c r="AF9" s="1765">
        <v>854300003409.76001</v>
      </c>
      <c r="AG9" s="1765">
        <v>-28613941346</v>
      </c>
      <c r="AH9" s="1765">
        <v>-18113323097</v>
      </c>
      <c r="AI9" s="1765">
        <v>-126154096772</v>
      </c>
      <c r="AJ9" s="1765">
        <v>-87140348756</v>
      </c>
      <c r="AK9" s="1765">
        <v>-11370653144</v>
      </c>
      <c r="AL9" s="1765">
        <v>-1245672640</v>
      </c>
      <c r="AM9" s="1765">
        <v>-25238253077</v>
      </c>
      <c r="AN9" s="1765">
        <f t="shared" ref="AN9:AN31" si="0">SUM(C9:AM9)</f>
        <v>17452697022.851562</v>
      </c>
      <c r="AO9" s="1767"/>
      <c r="AP9" s="1768"/>
    </row>
    <row r="10" spans="2:42" s="1769" customFormat="1" ht="12.75">
      <c r="B10" s="1770" t="s">
        <v>2168</v>
      </c>
      <c r="C10" s="1771">
        <f>SUM(C11:C31)</f>
        <v>437437904340.70001</v>
      </c>
      <c r="D10" s="1771">
        <f>SUM(D11:D31)</f>
        <v>45812188282.160004</v>
      </c>
      <c r="E10" s="1771">
        <f t="shared" ref="E10:AM10" si="1">SUM(E11:E31)</f>
        <v>135734736233.32999</v>
      </c>
      <c r="F10" s="1771">
        <f t="shared" si="1"/>
        <v>47081991690.919998</v>
      </c>
      <c r="G10" s="1771">
        <f t="shared" si="1"/>
        <v>287660921640.34003</v>
      </c>
      <c r="H10" s="1771">
        <f t="shared" si="1"/>
        <v>25566920726</v>
      </c>
      <c r="I10" s="1771">
        <f t="shared" si="1"/>
        <v>8663621968</v>
      </c>
      <c r="J10" s="1771">
        <f t="shared" si="1"/>
        <v>17332819488</v>
      </c>
      <c r="K10" s="1771">
        <f t="shared" si="1"/>
        <v>10017475293</v>
      </c>
      <c r="L10" s="1771">
        <f t="shared" si="1"/>
        <v>16407489688</v>
      </c>
      <c r="M10" s="1771">
        <f t="shared" si="1"/>
        <v>18188076334.279999</v>
      </c>
      <c r="N10" s="1771">
        <f t="shared" si="1"/>
        <v>14889743077</v>
      </c>
      <c r="O10" s="1771">
        <f t="shared" si="1"/>
        <v>8918404418</v>
      </c>
      <c r="P10" s="1771">
        <f t="shared" si="1"/>
        <v>11126125422</v>
      </c>
      <c r="Q10" s="1771">
        <f t="shared" si="1"/>
        <v>11944990119</v>
      </c>
      <c r="R10" s="1771">
        <f t="shared" si="1"/>
        <v>16278032829.110001</v>
      </c>
      <c r="S10" s="1771">
        <f t="shared" si="1"/>
        <v>15887960364</v>
      </c>
      <c r="T10" s="1771">
        <f t="shared" si="1"/>
        <v>16910848196</v>
      </c>
      <c r="U10" s="1771">
        <f t="shared" si="1"/>
        <v>9168684507</v>
      </c>
      <c r="V10" s="1771">
        <f t="shared" si="1"/>
        <v>16263468780</v>
      </c>
      <c r="W10" s="1771">
        <f t="shared" si="1"/>
        <v>20823040568</v>
      </c>
      <c r="X10" s="1771">
        <f t="shared" si="1"/>
        <v>10686050633</v>
      </c>
      <c r="Y10" s="1771">
        <f t="shared" si="1"/>
        <v>24565985340</v>
      </c>
      <c r="Z10" s="1771">
        <f t="shared" si="1"/>
        <v>38104559688</v>
      </c>
      <c r="AA10" s="1771">
        <f t="shared" si="1"/>
        <v>27482308483.779999</v>
      </c>
      <c r="AB10" s="1771">
        <f t="shared" si="1"/>
        <v>24252973208.400002</v>
      </c>
      <c r="AC10" s="1771">
        <f t="shared" si="1"/>
        <v>21841364548</v>
      </c>
      <c r="AD10" s="1771">
        <f t="shared" si="1"/>
        <v>17035184079</v>
      </c>
      <c r="AE10" s="1771">
        <f t="shared" si="1"/>
        <v>-747504521997.42004</v>
      </c>
      <c r="AF10" s="1771">
        <f t="shared" si="1"/>
        <v>-799261956569.71997</v>
      </c>
      <c r="AG10" s="1771">
        <f t="shared" si="1"/>
        <v>28439303221</v>
      </c>
      <c r="AH10" s="1771">
        <f t="shared" si="1"/>
        <v>17611760066</v>
      </c>
      <c r="AI10" s="1771">
        <f t="shared" si="1"/>
        <v>106575154856</v>
      </c>
      <c r="AJ10" s="1771">
        <f t="shared" si="1"/>
        <v>86278936956</v>
      </c>
      <c r="AK10" s="1771">
        <f t="shared" si="1"/>
        <v>15874161278</v>
      </c>
      <c r="AL10" s="1771">
        <f t="shared" si="1"/>
        <v>1245672640</v>
      </c>
      <c r="AM10" s="1771">
        <f t="shared" si="1"/>
        <v>25238253077</v>
      </c>
      <c r="AN10" s="1765">
        <f t="shared" si="0"/>
        <v>90580633471.880005</v>
      </c>
    </row>
    <row r="11" spans="2:42" s="1775" customFormat="1" ht="12.75">
      <c r="B11" s="1772" t="s">
        <v>2169</v>
      </c>
      <c r="C11" s="1773">
        <v>0</v>
      </c>
      <c r="D11" s="1773">
        <v>0</v>
      </c>
      <c r="E11" s="1773">
        <v>0</v>
      </c>
      <c r="F11" s="1774">
        <v>0</v>
      </c>
      <c r="G11" s="1774">
        <v>0</v>
      </c>
      <c r="H11" s="1774">
        <v>0</v>
      </c>
      <c r="I11" s="1774">
        <v>0</v>
      </c>
      <c r="J11" s="1774">
        <v>0</v>
      </c>
      <c r="K11" s="1774">
        <v>0</v>
      </c>
      <c r="L11" s="1774">
        <v>0</v>
      </c>
      <c r="M11" s="1774">
        <v>0</v>
      </c>
      <c r="N11" s="1774">
        <v>0</v>
      </c>
      <c r="O11" s="1774">
        <v>0</v>
      </c>
      <c r="P11" s="1774">
        <v>0</v>
      </c>
      <c r="Q11" s="1774">
        <v>0</v>
      </c>
      <c r="R11" s="1774">
        <v>0</v>
      </c>
      <c r="S11" s="1774">
        <v>0</v>
      </c>
      <c r="T11" s="1774">
        <v>0</v>
      </c>
      <c r="U11" s="1774">
        <v>0</v>
      </c>
      <c r="V11" s="1774">
        <v>0</v>
      </c>
      <c r="W11" s="1774">
        <v>0</v>
      </c>
      <c r="X11" s="1774">
        <v>0</v>
      </c>
      <c r="Y11" s="1774">
        <v>0</v>
      </c>
      <c r="Z11" s="1774">
        <v>0</v>
      </c>
      <c r="AA11" s="1774">
        <v>0</v>
      </c>
      <c r="AB11" s="1774">
        <v>0</v>
      </c>
      <c r="AC11" s="1774">
        <v>0</v>
      </c>
      <c r="AD11" s="1774">
        <v>0</v>
      </c>
      <c r="AE11" s="1774">
        <v>-16800000</v>
      </c>
      <c r="AF11" s="1774">
        <v>0</v>
      </c>
      <c r="AG11" s="1774">
        <v>0</v>
      </c>
      <c r="AH11" s="1774">
        <v>0</v>
      </c>
      <c r="AI11" s="1774">
        <v>0</v>
      </c>
      <c r="AJ11" s="1774">
        <v>0</v>
      </c>
      <c r="AK11" s="1774">
        <v>0</v>
      </c>
      <c r="AL11" s="1774">
        <v>0</v>
      </c>
      <c r="AM11" s="1774">
        <v>0</v>
      </c>
      <c r="AN11" s="1765">
        <f t="shared" si="0"/>
        <v>-16800000</v>
      </c>
    </row>
    <row r="12" spans="2:42" s="1776" customFormat="1" ht="12.75">
      <c r="B12" s="1772" t="s">
        <v>2170</v>
      </c>
      <c r="C12" s="1773">
        <v>0</v>
      </c>
      <c r="D12" s="1773">
        <v>2308785</v>
      </c>
      <c r="E12" s="1773">
        <v>-278538</v>
      </c>
      <c r="F12" s="1774">
        <v>0</v>
      </c>
      <c r="G12" s="1774">
        <v>0</v>
      </c>
      <c r="H12" s="1774">
        <v>0</v>
      </c>
      <c r="I12" s="1774">
        <v>0</v>
      </c>
      <c r="J12" s="1774">
        <v>0</v>
      </c>
      <c r="K12" s="1774">
        <v>0</v>
      </c>
      <c r="L12" s="1774">
        <v>0</v>
      </c>
      <c r="M12" s="1774">
        <v>0</v>
      </c>
      <c r="N12" s="1774">
        <v>0</v>
      </c>
      <c r="O12" s="1774">
        <v>0</v>
      </c>
      <c r="P12" s="1774">
        <v>0</v>
      </c>
      <c r="Q12" s="1774">
        <v>0</v>
      </c>
      <c r="R12" s="1774">
        <v>0</v>
      </c>
      <c r="S12" s="1774">
        <v>0</v>
      </c>
      <c r="T12" s="1774">
        <v>0</v>
      </c>
      <c r="U12" s="1774">
        <v>0</v>
      </c>
      <c r="V12" s="1774">
        <v>0</v>
      </c>
      <c r="W12" s="1774">
        <v>0</v>
      </c>
      <c r="X12" s="1774">
        <v>0</v>
      </c>
      <c r="Y12" s="1774">
        <v>0</v>
      </c>
      <c r="Z12" s="1774">
        <v>0</v>
      </c>
      <c r="AA12" s="1774">
        <v>0</v>
      </c>
      <c r="AB12" s="1774">
        <v>0</v>
      </c>
      <c r="AC12" s="1774">
        <v>0</v>
      </c>
      <c r="AD12" s="1774">
        <v>0</v>
      </c>
      <c r="AE12" s="1774">
        <v>0</v>
      </c>
      <c r="AF12" s="1774">
        <v>0</v>
      </c>
      <c r="AG12" s="1774">
        <v>0</v>
      </c>
      <c r="AH12" s="1774">
        <v>0</v>
      </c>
      <c r="AI12" s="1774">
        <v>0</v>
      </c>
      <c r="AJ12" s="1774">
        <v>0</v>
      </c>
      <c r="AK12" s="1774">
        <v>0</v>
      </c>
      <c r="AL12" s="1774">
        <v>0</v>
      </c>
      <c r="AM12" s="1774">
        <v>0</v>
      </c>
      <c r="AN12" s="1765">
        <f t="shared" si="0"/>
        <v>2030247</v>
      </c>
    </row>
    <row r="13" spans="2:42" s="1775" customFormat="1" ht="12.75">
      <c r="B13" s="1772" t="s">
        <v>2171</v>
      </c>
      <c r="C13" s="1773">
        <v>0</v>
      </c>
      <c r="D13" s="1773">
        <v>0</v>
      </c>
      <c r="E13" s="1773">
        <v>0</v>
      </c>
      <c r="F13" s="1774">
        <v>0</v>
      </c>
      <c r="G13" s="1774">
        <v>0</v>
      </c>
      <c r="H13" s="1774">
        <v>0</v>
      </c>
      <c r="I13" s="1774">
        <v>0</v>
      </c>
      <c r="J13" s="1774">
        <v>0</v>
      </c>
      <c r="K13" s="1774">
        <v>0</v>
      </c>
      <c r="L13" s="1774">
        <v>0</v>
      </c>
      <c r="M13" s="1774">
        <v>0</v>
      </c>
      <c r="N13" s="1774">
        <v>0</v>
      </c>
      <c r="O13" s="1774">
        <v>0</v>
      </c>
      <c r="P13" s="1774">
        <v>0</v>
      </c>
      <c r="Q13" s="1774">
        <v>0</v>
      </c>
      <c r="R13" s="1774">
        <v>0</v>
      </c>
      <c r="S13" s="1774">
        <v>0</v>
      </c>
      <c r="T13" s="1774">
        <v>0</v>
      </c>
      <c r="U13" s="1774">
        <v>0</v>
      </c>
      <c r="V13" s="1774">
        <v>0</v>
      </c>
      <c r="W13" s="1774">
        <v>0</v>
      </c>
      <c r="X13" s="1774">
        <v>0</v>
      </c>
      <c r="Y13" s="1774">
        <v>0</v>
      </c>
      <c r="Z13" s="1774">
        <v>0</v>
      </c>
      <c r="AA13" s="1774">
        <v>0</v>
      </c>
      <c r="AB13" s="1774">
        <v>0</v>
      </c>
      <c r="AC13" s="1774">
        <v>0</v>
      </c>
      <c r="AD13" s="1774">
        <v>0</v>
      </c>
      <c r="AE13" s="1774">
        <v>103295222</v>
      </c>
      <c r="AF13" s="1774">
        <v>0</v>
      </c>
      <c r="AG13" s="1774">
        <v>0</v>
      </c>
      <c r="AH13" s="1774">
        <v>0</v>
      </c>
      <c r="AI13" s="1774">
        <v>0</v>
      </c>
      <c r="AJ13" s="1774">
        <v>0</v>
      </c>
      <c r="AK13" s="1774">
        <v>0</v>
      </c>
      <c r="AL13" s="1774">
        <v>0</v>
      </c>
      <c r="AM13" s="1774">
        <v>0</v>
      </c>
      <c r="AN13" s="1765">
        <f t="shared" si="0"/>
        <v>103295222</v>
      </c>
    </row>
    <row r="14" spans="2:42" s="1775" customFormat="1" ht="12.75">
      <c r="B14" s="1772" t="s">
        <v>2172</v>
      </c>
      <c r="C14" s="1773">
        <v>0</v>
      </c>
      <c r="D14" s="1773">
        <v>0</v>
      </c>
      <c r="E14" s="1773">
        <v>0</v>
      </c>
      <c r="F14" s="1774">
        <v>0</v>
      </c>
      <c r="G14" s="1774">
        <v>0</v>
      </c>
      <c r="H14" s="1774">
        <v>0</v>
      </c>
      <c r="I14" s="1774">
        <v>0</v>
      </c>
      <c r="J14" s="1774">
        <v>0</v>
      </c>
      <c r="K14" s="1774">
        <v>0</v>
      </c>
      <c r="L14" s="1774">
        <v>0</v>
      </c>
      <c r="M14" s="1774">
        <v>0</v>
      </c>
      <c r="N14" s="1774">
        <v>0</v>
      </c>
      <c r="O14" s="1774">
        <v>0</v>
      </c>
      <c r="P14" s="1774">
        <v>0</v>
      </c>
      <c r="Q14" s="1774">
        <v>0</v>
      </c>
      <c r="R14" s="1774">
        <v>0</v>
      </c>
      <c r="S14" s="1774">
        <v>0</v>
      </c>
      <c r="T14" s="1774">
        <v>0</v>
      </c>
      <c r="U14" s="1774">
        <v>0</v>
      </c>
      <c r="V14" s="1774">
        <v>0</v>
      </c>
      <c r="W14" s="1774">
        <v>0</v>
      </c>
      <c r="X14" s="1774">
        <v>0</v>
      </c>
      <c r="Y14" s="1774">
        <v>0</v>
      </c>
      <c r="Z14" s="1774">
        <v>0</v>
      </c>
      <c r="AA14" s="1774">
        <v>0</v>
      </c>
      <c r="AB14" s="1774">
        <v>0</v>
      </c>
      <c r="AC14" s="1774">
        <v>0</v>
      </c>
      <c r="AD14" s="1774">
        <v>0</v>
      </c>
      <c r="AE14" s="1774">
        <v>0</v>
      </c>
      <c r="AF14" s="1774">
        <v>174744142.28999999</v>
      </c>
      <c r="AG14" s="1774">
        <v>0</v>
      </c>
      <c r="AH14" s="1774">
        <v>0</v>
      </c>
      <c r="AI14" s="1774">
        <v>0</v>
      </c>
      <c r="AJ14" s="1774">
        <v>0</v>
      </c>
      <c r="AK14" s="1774">
        <v>0</v>
      </c>
      <c r="AL14" s="1774">
        <v>0</v>
      </c>
      <c r="AM14" s="1774">
        <v>0</v>
      </c>
      <c r="AN14" s="1765">
        <f t="shared" si="0"/>
        <v>174744142.28999999</v>
      </c>
    </row>
    <row r="15" spans="2:42" s="1775" customFormat="1" ht="12.75">
      <c r="B15" s="1772" t="s">
        <v>2173</v>
      </c>
      <c r="C15" s="1773">
        <v>0</v>
      </c>
      <c r="D15" s="1773">
        <v>0</v>
      </c>
      <c r="E15" s="1773">
        <v>0</v>
      </c>
      <c r="F15" s="1774">
        <v>0</v>
      </c>
      <c r="G15" s="1774">
        <v>0</v>
      </c>
      <c r="H15" s="1774">
        <v>0</v>
      </c>
      <c r="I15" s="1774">
        <v>0</v>
      </c>
      <c r="J15" s="1774">
        <v>0</v>
      </c>
      <c r="K15" s="1774">
        <v>0</v>
      </c>
      <c r="L15" s="1774">
        <v>0</v>
      </c>
      <c r="M15" s="1774">
        <v>0</v>
      </c>
      <c r="N15" s="1774">
        <v>0</v>
      </c>
      <c r="O15" s="1774">
        <v>0</v>
      </c>
      <c r="P15" s="1774">
        <v>0</v>
      </c>
      <c r="Q15" s="1774">
        <v>0</v>
      </c>
      <c r="R15" s="1774">
        <v>0</v>
      </c>
      <c r="S15" s="1774">
        <v>0</v>
      </c>
      <c r="T15" s="1774">
        <v>0</v>
      </c>
      <c r="U15" s="1774">
        <v>0</v>
      </c>
      <c r="V15" s="1774">
        <v>0</v>
      </c>
      <c r="W15" s="1774">
        <v>0</v>
      </c>
      <c r="X15" s="1774">
        <v>0</v>
      </c>
      <c r="Y15" s="1774">
        <v>0</v>
      </c>
      <c r="Z15" s="1774">
        <v>0</v>
      </c>
      <c r="AA15" s="1774">
        <v>0</v>
      </c>
      <c r="AB15" s="1774">
        <v>0</v>
      </c>
      <c r="AC15" s="1774">
        <v>0</v>
      </c>
      <c r="AD15" s="1774">
        <v>0</v>
      </c>
      <c r="AE15" s="1774">
        <v>0</v>
      </c>
      <c r="AF15" s="1774">
        <v>0</v>
      </c>
      <c r="AG15" s="1774">
        <v>0</v>
      </c>
      <c r="AH15" s="1774">
        <v>0</v>
      </c>
      <c r="AI15" s="1774">
        <v>0</v>
      </c>
      <c r="AJ15" s="1774">
        <v>0</v>
      </c>
      <c r="AK15" s="1774">
        <v>0</v>
      </c>
      <c r="AL15" s="1774">
        <v>0</v>
      </c>
      <c r="AM15" s="1774">
        <v>0</v>
      </c>
      <c r="AN15" s="1765">
        <f t="shared" si="0"/>
        <v>0</v>
      </c>
    </row>
    <row r="16" spans="2:42" s="1775" customFormat="1" ht="12.75">
      <c r="B16" s="1772" t="s">
        <v>2174</v>
      </c>
      <c r="C16" s="1773">
        <v>-95620319.980000004</v>
      </c>
      <c r="D16" s="1773">
        <v>-10929900</v>
      </c>
      <c r="E16" s="1773">
        <v>-63071880.020000003</v>
      </c>
      <c r="F16" s="1774">
        <v>-38716000</v>
      </c>
      <c r="G16" s="1774">
        <v>35122750</v>
      </c>
      <c r="H16" s="1774">
        <v>-22000000</v>
      </c>
      <c r="I16" s="1774">
        <v>-2500000</v>
      </c>
      <c r="J16" s="1774">
        <v>-1700000</v>
      </c>
      <c r="K16" s="1774">
        <v>-21004000</v>
      </c>
      <c r="L16" s="1774">
        <v>-24600000</v>
      </c>
      <c r="M16" s="1774">
        <v>-68403250</v>
      </c>
      <c r="N16" s="1774">
        <v>0</v>
      </c>
      <c r="O16" s="1774">
        <v>0</v>
      </c>
      <c r="P16" s="1774">
        <v>-2540455</v>
      </c>
      <c r="Q16" s="1774">
        <v>0</v>
      </c>
      <c r="R16" s="1774">
        <v>-24870800</v>
      </c>
      <c r="S16" s="1774">
        <v>-10080000</v>
      </c>
      <c r="T16" s="1774">
        <v>-14020000</v>
      </c>
      <c r="U16" s="1774">
        <v>0</v>
      </c>
      <c r="V16" s="1774">
        <v>-19050000</v>
      </c>
      <c r="W16" s="1774">
        <v>-5720000</v>
      </c>
      <c r="X16" s="1774">
        <v>-194000000</v>
      </c>
      <c r="Y16" s="1774">
        <v>-29597400</v>
      </c>
      <c r="Z16" s="1774">
        <v>0</v>
      </c>
      <c r="AA16" s="1774">
        <v>-1960000</v>
      </c>
      <c r="AB16" s="1774">
        <v>-54800000</v>
      </c>
      <c r="AC16" s="1774">
        <v>-4100000</v>
      </c>
      <c r="AD16" s="1774">
        <v>-523490000</v>
      </c>
      <c r="AE16" s="1774">
        <v>-1059466500</v>
      </c>
      <c r="AF16" s="1774">
        <v>0</v>
      </c>
      <c r="AG16" s="1774">
        <v>0</v>
      </c>
      <c r="AH16" s="1774">
        <v>0</v>
      </c>
      <c r="AI16" s="1774">
        <v>-142758000</v>
      </c>
      <c r="AJ16" s="1774">
        <v>-1700000</v>
      </c>
      <c r="AK16" s="1774">
        <v>-412416550</v>
      </c>
      <c r="AL16" s="1774">
        <v>0</v>
      </c>
      <c r="AM16" s="1774">
        <v>0</v>
      </c>
      <c r="AN16" s="1765">
        <f t="shared" si="0"/>
        <v>-2813992305</v>
      </c>
    </row>
    <row r="17" spans="2:40" s="1775" customFormat="1" ht="12.75">
      <c r="B17" s="1772" t="s">
        <v>2175</v>
      </c>
      <c r="C17" s="1773">
        <v>6144490</v>
      </c>
      <c r="D17" s="1773">
        <v>0</v>
      </c>
      <c r="E17" s="1773">
        <v>0</v>
      </c>
      <c r="F17" s="1774">
        <v>0</v>
      </c>
      <c r="G17" s="1774">
        <v>0.98</v>
      </c>
      <c r="H17" s="1774">
        <v>0</v>
      </c>
      <c r="I17" s="1774">
        <v>0</v>
      </c>
      <c r="J17" s="1774">
        <v>0</v>
      </c>
      <c r="K17" s="1774">
        <v>-19892000</v>
      </c>
      <c r="L17" s="1774">
        <v>0</v>
      </c>
      <c r="M17" s="1774">
        <v>0</v>
      </c>
      <c r="N17" s="1774">
        <v>0</v>
      </c>
      <c r="O17" s="1774">
        <v>0</v>
      </c>
      <c r="P17" s="1774">
        <v>0</v>
      </c>
      <c r="Q17" s="1774">
        <v>0</v>
      </c>
      <c r="R17" s="1774">
        <v>-2506475000</v>
      </c>
      <c r="S17" s="1774">
        <v>0</v>
      </c>
      <c r="T17" s="1774">
        <v>0</v>
      </c>
      <c r="U17" s="1774">
        <v>0</v>
      </c>
      <c r="V17" s="1774">
        <v>0</v>
      </c>
      <c r="W17" s="1774">
        <v>0</v>
      </c>
      <c r="X17" s="1774">
        <v>0</v>
      </c>
      <c r="Y17" s="1774">
        <v>-4743000</v>
      </c>
      <c r="Z17" s="1774">
        <v>0</v>
      </c>
      <c r="AA17" s="1774">
        <v>48568074.780000001</v>
      </c>
      <c r="AB17" s="1774">
        <v>0</v>
      </c>
      <c r="AC17" s="1774">
        <v>0</v>
      </c>
      <c r="AD17" s="1774">
        <v>0</v>
      </c>
      <c r="AE17" s="1774">
        <v>0</v>
      </c>
      <c r="AF17" s="1774">
        <v>0</v>
      </c>
      <c r="AG17" s="1774">
        <v>0</v>
      </c>
      <c r="AH17" s="1774">
        <v>0</v>
      </c>
      <c r="AI17" s="1774">
        <v>-5000000</v>
      </c>
      <c r="AJ17" s="1774">
        <v>0</v>
      </c>
      <c r="AK17" s="1774">
        <v>2130650000</v>
      </c>
      <c r="AL17" s="1774">
        <v>0</v>
      </c>
      <c r="AM17" s="1774">
        <v>0</v>
      </c>
      <c r="AN17" s="1765">
        <f t="shared" si="0"/>
        <v>-350747434.23999977</v>
      </c>
    </row>
    <row r="18" spans="2:40" s="1775" customFormat="1" ht="12.75">
      <c r="B18" s="1772" t="s">
        <v>2176</v>
      </c>
      <c r="C18" s="1773">
        <v>302442997</v>
      </c>
      <c r="D18" s="1773">
        <v>0</v>
      </c>
      <c r="E18" s="1773">
        <v>0</v>
      </c>
      <c r="F18" s="1774">
        <v>0</v>
      </c>
      <c r="G18" s="1774">
        <v>0</v>
      </c>
      <c r="H18" s="1774">
        <v>0</v>
      </c>
      <c r="I18" s="1774">
        <v>0</v>
      </c>
      <c r="J18" s="1774">
        <v>0</v>
      </c>
      <c r="K18" s="1774">
        <v>0</v>
      </c>
      <c r="L18" s="1774">
        <v>0</v>
      </c>
      <c r="M18" s="1774">
        <v>0</v>
      </c>
      <c r="N18" s="1774">
        <v>0</v>
      </c>
      <c r="O18" s="1774">
        <v>0</v>
      </c>
      <c r="P18" s="1774">
        <v>0</v>
      </c>
      <c r="Q18" s="1774">
        <v>0</v>
      </c>
      <c r="R18" s="1774">
        <v>0</v>
      </c>
      <c r="S18" s="1774">
        <v>0</v>
      </c>
      <c r="T18" s="1774">
        <v>0</v>
      </c>
      <c r="U18" s="1774">
        <v>0</v>
      </c>
      <c r="V18" s="1774">
        <v>0</v>
      </c>
      <c r="W18" s="1774">
        <v>0</v>
      </c>
      <c r="X18" s="1774">
        <v>0</v>
      </c>
      <c r="Y18" s="1774">
        <v>0</v>
      </c>
      <c r="Z18" s="1774">
        <v>0</v>
      </c>
      <c r="AA18" s="1774">
        <v>0</v>
      </c>
      <c r="AB18" s="1774">
        <v>0</v>
      </c>
      <c r="AC18" s="1774">
        <v>0</v>
      </c>
      <c r="AD18" s="1774">
        <v>0</v>
      </c>
      <c r="AE18" s="1774">
        <v>0</v>
      </c>
      <c r="AF18" s="1774">
        <v>0</v>
      </c>
      <c r="AG18" s="1774">
        <v>0</v>
      </c>
      <c r="AH18" s="1774">
        <v>0</v>
      </c>
      <c r="AI18" s="1774">
        <v>0</v>
      </c>
      <c r="AJ18" s="1774">
        <v>0</v>
      </c>
      <c r="AK18" s="1774">
        <v>0</v>
      </c>
      <c r="AL18" s="1774">
        <v>0</v>
      </c>
      <c r="AM18" s="1774">
        <v>0</v>
      </c>
      <c r="AN18" s="1765">
        <f t="shared" si="0"/>
        <v>302442997</v>
      </c>
    </row>
    <row r="19" spans="2:40" s="1775" customFormat="1" ht="12.75">
      <c r="B19" s="1772" t="s">
        <v>2177</v>
      </c>
      <c r="C19" s="1773">
        <v>0</v>
      </c>
      <c r="D19" s="1773">
        <v>0</v>
      </c>
      <c r="E19" s="1773">
        <v>0</v>
      </c>
      <c r="F19" s="1774">
        <v>0</v>
      </c>
      <c r="G19" s="1774">
        <v>0</v>
      </c>
      <c r="H19" s="1774">
        <v>0</v>
      </c>
      <c r="I19" s="1774">
        <v>0</v>
      </c>
      <c r="J19" s="1774">
        <v>0</v>
      </c>
      <c r="K19" s="1774">
        <v>0</v>
      </c>
      <c r="L19" s="1774">
        <v>0</v>
      </c>
      <c r="M19" s="1774">
        <v>0</v>
      </c>
      <c r="N19" s="1774">
        <v>0</v>
      </c>
      <c r="O19" s="1774">
        <v>0</v>
      </c>
      <c r="P19" s="1774">
        <v>0</v>
      </c>
      <c r="Q19" s="1774">
        <v>0</v>
      </c>
      <c r="R19" s="1774">
        <v>0</v>
      </c>
      <c r="S19" s="1774">
        <v>0</v>
      </c>
      <c r="T19" s="1774">
        <v>0</v>
      </c>
      <c r="U19" s="1774">
        <v>0</v>
      </c>
      <c r="V19" s="1774">
        <v>0</v>
      </c>
      <c r="W19" s="1774">
        <v>0</v>
      </c>
      <c r="X19" s="1774">
        <v>0</v>
      </c>
      <c r="Y19" s="1774">
        <v>0</v>
      </c>
      <c r="Z19" s="1774">
        <v>0</v>
      </c>
      <c r="AA19" s="1774">
        <v>0</v>
      </c>
      <c r="AB19" s="1774">
        <v>0</v>
      </c>
      <c r="AC19" s="1774">
        <v>0</v>
      </c>
      <c r="AD19" s="1774">
        <v>0</v>
      </c>
      <c r="AE19" s="1774">
        <v>0</v>
      </c>
      <c r="AF19" s="1774">
        <v>0</v>
      </c>
      <c r="AG19" s="1774">
        <v>0</v>
      </c>
      <c r="AH19" s="1774">
        <v>0</v>
      </c>
      <c r="AI19" s="1774">
        <v>0</v>
      </c>
      <c r="AJ19" s="1774">
        <v>0</v>
      </c>
      <c r="AK19" s="1774">
        <v>0</v>
      </c>
      <c r="AL19" s="1774">
        <v>0</v>
      </c>
      <c r="AM19" s="1774">
        <v>0</v>
      </c>
      <c r="AN19" s="1765">
        <f t="shared" si="0"/>
        <v>0</v>
      </c>
    </row>
    <row r="20" spans="2:40" s="1775" customFormat="1" ht="12.75">
      <c r="B20" s="1772" t="s">
        <v>2178</v>
      </c>
      <c r="C20" s="1773">
        <v>0</v>
      </c>
      <c r="D20" s="1773">
        <v>0</v>
      </c>
      <c r="E20" s="1773">
        <v>0</v>
      </c>
      <c r="F20" s="1774">
        <v>0</v>
      </c>
      <c r="G20" s="1774">
        <v>0</v>
      </c>
      <c r="H20" s="1774">
        <v>0</v>
      </c>
      <c r="I20" s="1774">
        <v>0</v>
      </c>
      <c r="J20" s="1774">
        <v>0</v>
      </c>
      <c r="K20" s="1774">
        <v>0</v>
      </c>
      <c r="L20" s="1774">
        <v>0</v>
      </c>
      <c r="M20" s="1774">
        <v>0</v>
      </c>
      <c r="N20" s="1774">
        <v>0</v>
      </c>
      <c r="O20" s="1774">
        <v>0</v>
      </c>
      <c r="P20" s="1774">
        <v>0</v>
      </c>
      <c r="Q20" s="1774">
        <v>0</v>
      </c>
      <c r="R20" s="1774">
        <v>0</v>
      </c>
      <c r="S20" s="1774">
        <v>0</v>
      </c>
      <c r="T20" s="1774">
        <v>0</v>
      </c>
      <c r="U20" s="1774">
        <v>0</v>
      </c>
      <c r="V20" s="1774">
        <v>0</v>
      </c>
      <c r="W20" s="1774">
        <v>0</v>
      </c>
      <c r="X20" s="1774">
        <v>0</v>
      </c>
      <c r="Y20" s="1774">
        <v>0</v>
      </c>
      <c r="Z20" s="1774">
        <v>0</v>
      </c>
      <c r="AA20" s="1774">
        <v>0</v>
      </c>
      <c r="AB20" s="1774">
        <v>0</v>
      </c>
      <c r="AC20" s="1774">
        <v>0</v>
      </c>
      <c r="AD20" s="1774">
        <v>0</v>
      </c>
      <c r="AE20" s="1774">
        <v>0</v>
      </c>
      <c r="AF20" s="1774">
        <v>0</v>
      </c>
      <c r="AG20" s="1774">
        <v>0</v>
      </c>
      <c r="AH20" s="1774">
        <v>0</v>
      </c>
      <c r="AI20" s="1774">
        <v>0</v>
      </c>
      <c r="AJ20" s="1774">
        <v>0</v>
      </c>
      <c r="AK20" s="1774">
        <v>0</v>
      </c>
      <c r="AL20" s="1774">
        <v>0</v>
      </c>
      <c r="AM20" s="1774">
        <v>0</v>
      </c>
      <c r="AN20" s="1765">
        <f t="shared" si="0"/>
        <v>0</v>
      </c>
    </row>
    <row r="21" spans="2:40" s="1775" customFormat="1" ht="12.75">
      <c r="B21" s="1772" t="s">
        <v>2179</v>
      </c>
      <c r="C21" s="1773">
        <v>695748216</v>
      </c>
      <c r="D21" s="1773">
        <v>403099403</v>
      </c>
      <c r="E21" s="1773">
        <v>347010714</v>
      </c>
      <c r="F21" s="1774">
        <v>180710000</v>
      </c>
      <c r="G21" s="1774">
        <v>-58989178</v>
      </c>
      <c r="H21" s="1774">
        <v>0</v>
      </c>
      <c r="I21" s="1774">
        <v>122985000</v>
      </c>
      <c r="J21" s="1774">
        <v>0</v>
      </c>
      <c r="K21" s="1774">
        <v>-10164343</v>
      </c>
      <c r="L21" s="1774">
        <v>255000000</v>
      </c>
      <c r="M21" s="1774">
        <v>147125000</v>
      </c>
      <c r="N21" s="1774">
        <v>-829761714</v>
      </c>
      <c r="O21" s="1774">
        <v>425301000</v>
      </c>
      <c r="P21" s="1774">
        <v>156050000</v>
      </c>
      <c r="Q21" s="1774">
        <v>289673568</v>
      </c>
      <c r="R21" s="1774">
        <v>424350000</v>
      </c>
      <c r="S21" s="1774">
        <v>400440160</v>
      </c>
      <c r="T21" s="1774">
        <v>399595000</v>
      </c>
      <c r="U21" s="1774">
        <v>245980000</v>
      </c>
      <c r="V21" s="1774">
        <v>-15285584</v>
      </c>
      <c r="W21" s="1774">
        <v>419145893</v>
      </c>
      <c r="X21" s="1774">
        <v>111479643</v>
      </c>
      <c r="Y21" s="1774">
        <v>318075022</v>
      </c>
      <c r="Z21" s="1774">
        <v>761810832</v>
      </c>
      <c r="AA21" s="1774">
        <v>-157368282</v>
      </c>
      <c r="AB21" s="1774">
        <v>342300000</v>
      </c>
      <c r="AC21" s="1774">
        <v>171021643</v>
      </c>
      <c r="AD21" s="1774">
        <v>519865000</v>
      </c>
      <c r="AE21" s="1774">
        <v>753783597</v>
      </c>
      <c r="AF21" s="1774">
        <v>0</v>
      </c>
      <c r="AG21" s="1774">
        <v>525815606</v>
      </c>
      <c r="AH21" s="1774">
        <v>-82520357</v>
      </c>
      <c r="AI21" s="1774">
        <v>4820700244</v>
      </c>
      <c r="AJ21" s="1774">
        <v>1935042500</v>
      </c>
      <c r="AK21" s="1774">
        <v>893281003</v>
      </c>
      <c r="AL21" s="1774">
        <v>0</v>
      </c>
      <c r="AM21" s="1774">
        <v>0</v>
      </c>
      <c r="AN21" s="1765">
        <f t="shared" si="0"/>
        <v>14911299586</v>
      </c>
    </row>
    <row r="22" spans="2:40" s="1776" customFormat="1" ht="12.75">
      <c r="B22" s="1772" t="s">
        <v>2180</v>
      </c>
      <c r="C22" s="1773">
        <v>0</v>
      </c>
      <c r="D22" s="1773">
        <v>0</v>
      </c>
      <c r="E22" s="1773">
        <v>0</v>
      </c>
      <c r="F22" s="1774">
        <v>0</v>
      </c>
      <c r="G22" s="1774">
        <v>0</v>
      </c>
      <c r="H22" s="1774">
        <v>0</v>
      </c>
      <c r="I22" s="1774">
        <v>0</v>
      </c>
      <c r="J22" s="1774">
        <v>0</v>
      </c>
      <c r="K22" s="1774">
        <v>0</v>
      </c>
      <c r="L22" s="1774">
        <v>0</v>
      </c>
      <c r="M22" s="1774">
        <v>0</v>
      </c>
      <c r="N22" s="1774">
        <v>0</v>
      </c>
      <c r="O22" s="1774">
        <v>0</v>
      </c>
      <c r="P22" s="1774">
        <v>0</v>
      </c>
      <c r="Q22" s="1774">
        <v>0</v>
      </c>
      <c r="R22" s="1774">
        <v>0</v>
      </c>
      <c r="S22" s="1774">
        <v>0</v>
      </c>
      <c r="T22" s="1774">
        <v>0</v>
      </c>
      <c r="U22" s="1774">
        <v>0</v>
      </c>
      <c r="V22" s="1774">
        <v>0</v>
      </c>
      <c r="W22" s="1774">
        <v>0</v>
      </c>
      <c r="X22" s="1774">
        <v>0</v>
      </c>
      <c r="Y22" s="1774">
        <v>0</v>
      </c>
      <c r="Z22" s="1774">
        <v>0</v>
      </c>
      <c r="AA22" s="1774">
        <v>0</v>
      </c>
      <c r="AB22" s="1774">
        <v>0</v>
      </c>
      <c r="AC22" s="1774">
        <v>0</v>
      </c>
      <c r="AD22" s="1774">
        <v>0</v>
      </c>
      <c r="AE22" s="1774">
        <v>0</v>
      </c>
      <c r="AF22" s="1774">
        <v>0</v>
      </c>
      <c r="AG22" s="1774">
        <v>0</v>
      </c>
      <c r="AH22" s="1774">
        <v>0</v>
      </c>
      <c r="AI22" s="1774">
        <v>0</v>
      </c>
      <c r="AJ22" s="1774">
        <v>0</v>
      </c>
      <c r="AK22" s="1774">
        <v>0</v>
      </c>
      <c r="AL22" s="1774">
        <v>0</v>
      </c>
      <c r="AM22" s="1774">
        <v>0</v>
      </c>
      <c r="AN22" s="1765">
        <f t="shared" si="0"/>
        <v>0</v>
      </c>
    </row>
    <row r="23" spans="2:40" s="1775" customFormat="1" ht="12.75">
      <c r="B23" s="1772" t="s">
        <v>2181</v>
      </c>
      <c r="C23" s="1773">
        <v>0</v>
      </c>
      <c r="D23" s="1773">
        <v>0</v>
      </c>
      <c r="E23" s="1773">
        <v>0</v>
      </c>
      <c r="F23" s="1774">
        <v>0</v>
      </c>
      <c r="G23" s="1774">
        <v>0</v>
      </c>
      <c r="H23" s="1774">
        <v>0</v>
      </c>
      <c r="I23" s="1774">
        <v>0</v>
      </c>
      <c r="J23" s="1774">
        <v>0</v>
      </c>
      <c r="K23" s="1774">
        <v>0</v>
      </c>
      <c r="L23" s="1774">
        <v>0</v>
      </c>
      <c r="M23" s="1774">
        <v>0</v>
      </c>
      <c r="N23" s="1774">
        <v>0</v>
      </c>
      <c r="O23" s="1774">
        <v>0</v>
      </c>
      <c r="P23" s="1774">
        <v>0</v>
      </c>
      <c r="Q23" s="1774">
        <v>0</v>
      </c>
      <c r="R23" s="1774">
        <v>0</v>
      </c>
      <c r="S23" s="1774">
        <v>0</v>
      </c>
      <c r="T23" s="1774">
        <v>0</v>
      </c>
      <c r="U23" s="1774">
        <v>0</v>
      </c>
      <c r="V23" s="1774">
        <v>0</v>
      </c>
      <c r="W23" s="1774">
        <v>0</v>
      </c>
      <c r="X23" s="1774">
        <v>0</v>
      </c>
      <c r="Y23" s="1774">
        <v>0</v>
      </c>
      <c r="Z23" s="1774">
        <v>0</v>
      </c>
      <c r="AA23" s="1774">
        <v>0</v>
      </c>
      <c r="AB23" s="1774">
        <v>0</v>
      </c>
      <c r="AC23" s="1774">
        <v>0</v>
      </c>
      <c r="AD23" s="1774">
        <v>0</v>
      </c>
      <c r="AE23" s="1774">
        <v>0</v>
      </c>
      <c r="AF23" s="1774">
        <v>0</v>
      </c>
      <c r="AG23" s="1774">
        <v>0</v>
      </c>
      <c r="AH23" s="1774">
        <v>0</v>
      </c>
      <c r="AI23" s="1774">
        <v>0</v>
      </c>
      <c r="AJ23" s="1774">
        <v>0</v>
      </c>
      <c r="AK23" s="1774">
        <v>0</v>
      </c>
      <c r="AL23" s="1774">
        <v>0</v>
      </c>
      <c r="AM23" s="1774">
        <v>0</v>
      </c>
      <c r="AN23" s="1765">
        <f t="shared" si="0"/>
        <v>0</v>
      </c>
    </row>
    <row r="24" spans="2:40" s="1775" customFormat="1" ht="12.75">
      <c r="B24" s="1772" t="s">
        <v>2182</v>
      </c>
      <c r="C24" s="1773">
        <v>444084101058.47998</v>
      </c>
      <c r="D24" s="1773">
        <v>45700706994.160004</v>
      </c>
      <c r="E24" s="1773">
        <v>135879310583.06</v>
      </c>
      <c r="F24" s="1774">
        <v>47083763429.919998</v>
      </c>
      <c r="G24" s="1774">
        <v>219578918168.98999</v>
      </c>
      <c r="H24" s="1774">
        <v>25600574059</v>
      </c>
      <c r="I24" s="1774">
        <v>8666121968</v>
      </c>
      <c r="J24" s="1774">
        <v>17334519488</v>
      </c>
      <c r="K24" s="1774">
        <v>10009035636</v>
      </c>
      <c r="L24" s="1774">
        <v>16432089688</v>
      </c>
      <c r="M24" s="1774">
        <v>18256479584.279999</v>
      </c>
      <c r="N24" s="1774">
        <v>11774607391</v>
      </c>
      <c r="O24" s="1774">
        <v>8918404418</v>
      </c>
      <c r="P24" s="1774">
        <v>11128665877</v>
      </c>
      <c r="Q24" s="1774">
        <v>11842596251</v>
      </c>
      <c r="R24" s="1774">
        <v>18531298629.110001</v>
      </c>
      <c r="S24" s="1774">
        <v>15855994677</v>
      </c>
      <c r="T24" s="1774">
        <v>16668138196</v>
      </c>
      <c r="U24" s="1774">
        <v>8722974507</v>
      </c>
      <c r="V24" s="1774">
        <v>15946524364</v>
      </c>
      <c r="W24" s="1774">
        <v>20570734675</v>
      </c>
      <c r="X24" s="1774">
        <v>10511840990</v>
      </c>
      <c r="Y24" s="1774">
        <v>24711565718</v>
      </c>
      <c r="Z24" s="1774">
        <v>38238143356</v>
      </c>
      <c r="AA24" s="1774">
        <v>28234837018</v>
      </c>
      <c r="AB24" s="1774">
        <v>24295473208.400002</v>
      </c>
      <c r="AC24" s="1774">
        <v>21683554905</v>
      </c>
      <c r="AD24" s="1774">
        <v>17038809079</v>
      </c>
      <c r="AE24" s="1774">
        <v>-755884427805.32007</v>
      </c>
      <c r="AF24" s="1774">
        <v>-818762023001.5</v>
      </c>
      <c r="AG24" s="1774">
        <v>28486531435</v>
      </c>
      <c r="AH24" s="1774">
        <v>17437550423</v>
      </c>
      <c r="AI24" s="1774">
        <v>113523817812</v>
      </c>
      <c r="AJ24" s="1774">
        <v>85620836956</v>
      </c>
      <c r="AK24" s="1774">
        <v>10218325825</v>
      </c>
      <c r="AL24" s="1774">
        <v>1245672640</v>
      </c>
      <c r="AM24" s="1774">
        <v>25238253077</v>
      </c>
      <c r="AN24" s="1765">
        <f t="shared" si="0"/>
        <v>424321278.57983398</v>
      </c>
    </row>
    <row r="25" spans="2:40" s="1775" customFormat="1" ht="12.75">
      <c r="B25" s="1772" t="s">
        <v>2183</v>
      </c>
      <c r="C25" s="1773">
        <v>0</v>
      </c>
      <c r="D25" s="1773">
        <v>0</v>
      </c>
      <c r="E25" s="1773">
        <v>0</v>
      </c>
      <c r="F25" s="1774">
        <v>0</v>
      </c>
      <c r="G25" s="1774">
        <v>0</v>
      </c>
      <c r="H25" s="1774">
        <v>0</v>
      </c>
      <c r="I25" s="1774">
        <v>0</v>
      </c>
      <c r="J25" s="1774">
        <v>0</v>
      </c>
      <c r="K25" s="1774">
        <v>0</v>
      </c>
      <c r="L25" s="1774">
        <v>0</v>
      </c>
      <c r="M25" s="1774">
        <v>0</v>
      </c>
      <c r="N25" s="1774">
        <v>0</v>
      </c>
      <c r="O25" s="1774">
        <v>0</v>
      </c>
      <c r="P25" s="1774">
        <v>0</v>
      </c>
      <c r="Q25" s="1774">
        <v>0</v>
      </c>
      <c r="R25" s="1774">
        <v>0</v>
      </c>
      <c r="S25" s="1774">
        <v>0</v>
      </c>
      <c r="T25" s="1774">
        <v>0</v>
      </c>
      <c r="U25" s="1774">
        <v>0</v>
      </c>
      <c r="V25" s="1774">
        <v>0</v>
      </c>
      <c r="W25" s="1774">
        <v>0</v>
      </c>
      <c r="X25" s="1774">
        <v>0</v>
      </c>
      <c r="Y25" s="1774">
        <v>0</v>
      </c>
      <c r="Z25" s="1774">
        <v>0</v>
      </c>
      <c r="AA25" s="1774">
        <v>0</v>
      </c>
      <c r="AB25" s="1774">
        <v>0</v>
      </c>
      <c r="AC25" s="1774">
        <v>0</v>
      </c>
      <c r="AD25" s="1774">
        <v>0</v>
      </c>
      <c r="AE25" s="1774">
        <v>0</v>
      </c>
      <c r="AF25" s="1774">
        <v>0</v>
      </c>
      <c r="AG25" s="1774">
        <v>0</v>
      </c>
      <c r="AH25" s="1774">
        <v>0</v>
      </c>
      <c r="AI25" s="1774">
        <v>0</v>
      </c>
      <c r="AJ25" s="1774">
        <v>0</v>
      </c>
      <c r="AK25" s="1774">
        <v>0</v>
      </c>
      <c r="AL25" s="1774">
        <v>0</v>
      </c>
      <c r="AM25" s="1774">
        <v>0</v>
      </c>
      <c r="AN25" s="1765">
        <f t="shared" si="0"/>
        <v>0</v>
      </c>
    </row>
    <row r="26" spans="2:40" s="1775" customFormat="1" ht="12.75">
      <c r="B26" s="1772" t="s">
        <v>2184</v>
      </c>
      <c r="C26" s="1773">
        <v>0</v>
      </c>
      <c r="D26" s="1773">
        <v>0</v>
      </c>
      <c r="E26" s="1773">
        <v>0</v>
      </c>
      <c r="F26" s="1774">
        <v>0</v>
      </c>
      <c r="G26" s="1774">
        <v>0</v>
      </c>
      <c r="H26" s="1774">
        <v>0</v>
      </c>
      <c r="I26" s="1774">
        <v>0</v>
      </c>
      <c r="J26" s="1774">
        <v>0</v>
      </c>
      <c r="K26" s="1774">
        <v>0</v>
      </c>
      <c r="L26" s="1774">
        <v>0</v>
      </c>
      <c r="M26" s="1774">
        <v>0</v>
      </c>
      <c r="N26" s="1774">
        <v>0</v>
      </c>
      <c r="O26" s="1774">
        <v>0</v>
      </c>
      <c r="P26" s="1774">
        <v>0</v>
      </c>
      <c r="Q26" s="1774">
        <v>0</v>
      </c>
      <c r="R26" s="1774">
        <v>0</v>
      </c>
      <c r="S26" s="1774">
        <v>0</v>
      </c>
      <c r="T26" s="1774">
        <v>0</v>
      </c>
      <c r="U26" s="1774">
        <v>0</v>
      </c>
      <c r="V26" s="1774">
        <v>0</v>
      </c>
      <c r="W26" s="1774">
        <v>0</v>
      </c>
      <c r="X26" s="1774">
        <v>0</v>
      </c>
      <c r="Y26" s="1774">
        <v>0</v>
      </c>
      <c r="Z26" s="1774">
        <v>8000</v>
      </c>
      <c r="AA26" s="1774">
        <v>0</v>
      </c>
      <c r="AB26" s="1774">
        <v>0</v>
      </c>
      <c r="AC26" s="1774">
        <v>0</v>
      </c>
      <c r="AD26" s="1774">
        <v>0</v>
      </c>
      <c r="AE26" s="1774">
        <v>0</v>
      </c>
      <c r="AF26" s="1774">
        <v>0</v>
      </c>
      <c r="AG26" s="1774">
        <v>0</v>
      </c>
      <c r="AH26" s="1774">
        <v>0</v>
      </c>
      <c r="AI26" s="1774">
        <v>0</v>
      </c>
      <c r="AJ26" s="1774">
        <v>0</v>
      </c>
      <c r="AK26" s="1774">
        <v>0</v>
      </c>
      <c r="AL26" s="1774">
        <v>0</v>
      </c>
      <c r="AM26" s="1774">
        <v>0</v>
      </c>
      <c r="AN26" s="1765">
        <f t="shared" si="0"/>
        <v>8000</v>
      </c>
    </row>
    <row r="27" spans="2:40" s="1775" customFormat="1" ht="12.75">
      <c r="B27" s="1772" t="s">
        <v>2185</v>
      </c>
      <c r="C27" s="1773">
        <v>0</v>
      </c>
      <c r="D27" s="1773">
        <v>0</v>
      </c>
      <c r="E27" s="1773">
        <v>65765354.289999999</v>
      </c>
      <c r="F27" s="1774">
        <v>36944261</v>
      </c>
      <c r="G27" s="1774">
        <v>0</v>
      </c>
      <c r="H27" s="1774">
        <v>0</v>
      </c>
      <c r="I27" s="1774">
        <v>0</v>
      </c>
      <c r="J27" s="1774">
        <v>0</v>
      </c>
      <c r="K27" s="1774">
        <v>0</v>
      </c>
      <c r="L27" s="1774">
        <v>0</v>
      </c>
      <c r="M27" s="1774">
        <v>0</v>
      </c>
      <c r="N27" s="1774">
        <v>0</v>
      </c>
      <c r="O27" s="1774">
        <v>0</v>
      </c>
      <c r="P27" s="1774">
        <v>0</v>
      </c>
      <c r="Q27" s="1774">
        <v>0</v>
      </c>
      <c r="R27" s="1774">
        <v>0</v>
      </c>
      <c r="S27" s="1774">
        <v>0</v>
      </c>
      <c r="T27" s="1774">
        <v>0</v>
      </c>
      <c r="U27" s="1774">
        <v>0</v>
      </c>
      <c r="V27" s="1774">
        <v>0</v>
      </c>
      <c r="W27" s="1774">
        <v>0</v>
      </c>
      <c r="X27" s="1774">
        <v>0</v>
      </c>
      <c r="Y27" s="1774">
        <v>0</v>
      </c>
      <c r="Z27" s="1774">
        <v>0</v>
      </c>
      <c r="AA27" s="1774">
        <v>0</v>
      </c>
      <c r="AB27" s="1774">
        <v>0</v>
      </c>
      <c r="AC27" s="1774">
        <v>0</v>
      </c>
      <c r="AD27" s="1774">
        <v>0</v>
      </c>
      <c r="AE27" s="1774">
        <v>3593832996.9000001</v>
      </c>
      <c r="AF27" s="1774">
        <v>0</v>
      </c>
      <c r="AG27" s="1774">
        <v>32500</v>
      </c>
      <c r="AH27" s="1774">
        <v>0</v>
      </c>
      <c r="AI27" s="1774">
        <v>0</v>
      </c>
      <c r="AJ27" s="1774">
        <v>0</v>
      </c>
      <c r="AK27" s="1774">
        <v>0</v>
      </c>
      <c r="AL27" s="1774">
        <v>0</v>
      </c>
      <c r="AM27" s="1774">
        <v>0</v>
      </c>
      <c r="AN27" s="1765">
        <f t="shared" si="0"/>
        <v>3696575112.1900001</v>
      </c>
    </row>
    <row r="28" spans="2:40" s="1775" customFormat="1" ht="12.75">
      <c r="B28" s="1772" t="s">
        <v>2186</v>
      </c>
      <c r="C28" s="1773">
        <v>0</v>
      </c>
      <c r="D28" s="1773">
        <v>0</v>
      </c>
      <c r="E28" s="1773">
        <v>0</v>
      </c>
      <c r="F28" s="1774">
        <v>0</v>
      </c>
      <c r="G28" s="1774">
        <v>67001372049.340004</v>
      </c>
      <c r="H28" s="1774">
        <v>-11653333</v>
      </c>
      <c r="I28" s="1774">
        <v>0</v>
      </c>
      <c r="J28" s="1774">
        <v>0</v>
      </c>
      <c r="K28" s="1774">
        <v>0</v>
      </c>
      <c r="L28" s="1774">
        <v>0</v>
      </c>
      <c r="M28" s="1774">
        <v>0</v>
      </c>
      <c r="N28" s="1774">
        <v>0</v>
      </c>
      <c r="O28" s="1774">
        <v>0</v>
      </c>
      <c r="P28" s="1774">
        <v>0</v>
      </c>
      <c r="Q28" s="1774">
        <v>0</v>
      </c>
      <c r="R28" s="1774">
        <v>0</v>
      </c>
      <c r="S28" s="1774">
        <v>0</v>
      </c>
      <c r="T28" s="1774">
        <v>0</v>
      </c>
      <c r="U28" s="1774">
        <v>0</v>
      </c>
      <c r="V28" s="1774">
        <v>0</v>
      </c>
      <c r="W28" s="1774">
        <v>0</v>
      </c>
      <c r="X28" s="1774">
        <v>0</v>
      </c>
      <c r="Y28" s="1774">
        <v>0</v>
      </c>
      <c r="Z28" s="1774">
        <v>0</v>
      </c>
      <c r="AA28" s="1774">
        <v>0</v>
      </c>
      <c r="AB28" s="1774">
        <v>0</v>
      </c>
      <c r="AC28" s="1774">
        <v>0</v>
      </c>
      <c r="AD28" s="1774">
        <v>0</v>
      </c>
      <c r="AE28" s="1774">
        <v>0</v>
      </c>
      <c r="AF28" s="1774">
        <v>6788827450</v>
      </c>
      <c r="AG28" s="1774">
        <v>0</v>
      </c>
      <c r="AH28" s="1774">
        <v>0</v>
      </c>
      <c r="AI28" s="1774">
        <v>0</v>
      </c>
      <c r="AJ28" s="1774">
        <v>0</v>
      </c>
      <c r="AK28" s="1774">
        <v>0</v>
      </c>
      <c r="AL28" s="1774">
        <v>0</v>
      </c>
      <c r="AM28" s="1774">
        <v>0</v>
      </c>
      <c r="AN28" s="1765">
        <f t="shared" si="0"/>
        <v>73778546166.339996</v>
      </c>
    </row>
    <row r="29" spans="2:40" s="1775" customFormat="1" ht="12.75">
      <c r="B29" s="1772" t="s">
        <v>2187</v>
      </c>
      <c r="C29" s="1777">
        <v>0</v>
      </c>
      <c r="D29" s="1773">
        <v>0</v>
      </c>
      <c r="E29" s="1773">
        <v>0</v>
      </c>
      <c r="F29" s="1774">
        <v>0</v>
      </c>
      <c r="G29" s="1774">
        <v>0</v>
      </c>
      <c r="H29" s="1774">
        <v>0</v>
      </c>
      <c r="I29" s="1774">
        <v>0</v>
      </c>
      <c r="J29" s="1774">
        <v>0</v>
      </c>
      <c r="K29" s="1774">
        <v>0</v>
      </c>
      <c r="L29" s="1774">
        <v>0</v>
      </c>
      <c r="M29" s="1774">
        <v>0</v>
      </c>
      <c r="N29" s="1774">
        <v>0</v>
      </c>
      <c r="O29" s="1774">
        <v>0</v>
      </c>
      <c r="P29" s="1774">
        <v>0</v>
      </c>
      <c r="Q29" s="1774">
        <v>0</v>
      </c>
      <c r="R29" s="1774">
        <v>0</v>
      </c>
      <c r="S29" s="1774">
        <v>0</v>
      </c>
      <c r="T29" s="1774">
        <v>0</v>
      </c>
      <c r="U29" s="1774">
        <v>0</v>
      </c>
      <c r="V29" s="1774">
        <v>0</v>
      </c>
      <c r="W29" s="1774">
        <v>0</v>
      </c>
      <c r="X29" s="1774">
        <v>0</v>
      </c>
      <c r="Y29" s="1774">
        <v>0</v>
      </c>
      <c r="Z29" s="1774">
        <v>0</v>
      </c>
      <c r="AA29" s="1774">
        <v>0</v>
      </c>
      <c r="AB29" s="1774">
        <v>0</v>
      </c>
      <c r="AC29" s="1774">
        <v>0</v>
      </c>
      <c r="AD29" s="1774">
        <v>0</v>
      </c>
      <c r="AE29" s="1774">
        <v>0</v>
      </c>
      <c r="AF29" s="1774">
        <v>0</v>
      </c>
      <c r="AG29" s="1774">
        <v>0</v>
      </c>
      <c r="AH29" s="1774">
        <v>0</v>
      </c>
      <c r="AI29" s="1774">
        <v>0</v>
      </c>
      <c r="AJ29" s="1774">
        <v>0</v>
      </c>
      <c r="AK29" s="1774">
        <v>0</v>
      </c>
      <c r="AL29" s="1774">
        <v>0</v>
      </c>
      <c r="AM29" s="1774">
        <v>0</v>
      </c>
      <c r="AN29" s="1765">
        <f t="shared" si="0"/>
        <v>0</v>
      </c>
    </row>
    <row r="30" spans="2:40" s="1775" customFormat="1" ht="12.75">
      <c r="B30" s="1772" t="s">
        <v>2188</v>
      </c>
      <c r="C30" s="1773">
        <v>0</v>
      </c>
      <c r="D30" s="1773">
        <v>0</v>
      </c>
      <c r="E30" s="1773">
        <v>0</v>
      </c>
      <c r="F30" s="1774">
        <v>0</v>
      </c>
      <c r="G30" s="1774">
        <v>0</v>
      </c>
      <c r="H30" s="1774">
        <v>0</v>
      </c>
      <c r="I30" s="1774">
        <v>0</v>
      </c>
      <c r="J30" s="1774">
        <v>0</v>
      </c>
      <c r="K30" s="1774">
        <v>0</v>
      </c>
      <c r="L30" s="1774">
        <v>0</v>
      </c>
      <c r="M30" s="1774">
        <v>0</v>
      </c>
      <c r="N30" s="1774">
        <v>0</v>
      </c>
      <c r="O30" s="1774">
        <v>0</v>
      </c>
      <c r="P30" s="1774">
        <v>0</v>
      </c>
      <c r="Q30" s="1774">
        <v>0</v>
      </c>
      <c r="R30" s="1774">
        <v>0</v>
      </c>
      <c r="S30" s="1774">
        <v>0</v>
      </c>
      <c r="T30" s="1774">
        <v>0</v>
      </c>
      <c r="U30" s="1774">
        <v>0</v>
      </c>
      <c r="V30" s="1774">
        <v>0</v>
      </c>
      <c r="W30" s="1774">
        <v>0</v>
      </c>
      <c r="X30" s="1774">
        <v>0</v>
      </c>
      <c r="Y30" s="1774">
        <v>0</v>
      </c>
      <c r="Z30" s="1774">
        <v>0</v>
      </c>
      <c r="AA30" s="1774">
        <v>0</v>
      </c>
      <c r="AB30" s="1774">
        <v>0</v>
      </c>
      <c r="AC30" s="1774">
        <v>0</v>
      </c>
      <c r="AD30" s="1774">
        <v>0</v>
      </c>
      <c r="AE30" s="1774">
        <v>4305776492</v>
      </c>
      <c r="AF30" s="1774">
        <v>0</v>
      </c>
      <c r="AG30" s="1774">
        <v>0</v>
      </c>
      <c r="AH30" s="1774">
        <v>0</v>
      </c>
      <c r="AI30" s="1774">
        <v>0</v>
      </c>
      <c r="AJ30" s="1774">
        <v>0</v>
      </c>
      <c r="AK30" s="1774">
        <v>0</v>
      </c>
      <c r="AL30" s="1774">
        <v>0</v>
      </c>
      <c r="AM30" s="1774">
        <v>0</v>
      </c>
      <c r="AN30" s="1765">
        <f t="shared" si="0"/>
        <v>4305776492</v>
      </c>
    </row>
    <row r="31" spans="2:40" s="1775" customFormat="1" ht="12.75">
      <c r="B31" s="1772" t="s">
        <v>2189</v>
      </c>
      <c r="C31" s="1777">
        <f>-7557643150.8+2731050</f>
        <v>-7554912100.8000002</v>
      </c>
      <c r="D31" s="1777">
        <v>-282997000</v>
      </c>
      <c r="E31" s="1777">
        <v>-494000000</v>
      </c>
      <c r="F31" s="1777">
        <v>-180710000</v>
      </c>
      <c r="G31" s="1777">
        <v>1104497849.03</v>
      </c>
      <c r="H31" s="1777">
        <v>0</v>
      </c>
      <c r="I31" s="1777">
        <v>-122985000</v>
      </c>
      <c r="J31" s="1777">
        <v>0</v>
      </c>
      <c r="K31" s="1777">
        <v>59500000</v>
      </c>
      <c r="L31" s="1777">
        <v>-255000000</v>
      </c>
      <c r="M31" s="1777">
        <v>-147125000</v>
      </c>
      <c r="N31" s="1777">
        <v>3944897400</v>
      </c>
      <c r="O31" s="1777">
        <v>-425301000</v>
      </c>
      <c r="P31" s="1777">
        <v>-156050000</v>
      </c>
      <c r="Q31" s="1777">
        <v>-187279700</v>
      </c>
      <c r="R31" s="1777">
        <v>-146270000</v>
      </c>
      <c r="S31" s="1777">
        <v>-358394473</v>
      </c>
      <c r="T31" s="1777">
        <v>-142865000</v>
      </c>
      <c r="U31" s="1777">
        <v>199730000</v>
      </c>
      <c r="V31" s="1777">
        <v>351280000</v>
      </c>
      <c r="W31" s="1777">
        <v>-161120000</v>
      </c>
      <c r="X31" s="1777">
        <v>256730000</v>
      </c>
      <c r="Y31" s="1777">
        <v>-429315000</v>
      </c>
      <c r="Z31" s="1777">
        <v>-895402500</v>
      </c>
      <c r="AA31" s="1777">
        <v>-641768327</v>
      </c>
      <c r="AB31" s="1777">
        <v>-330000000</v>
      </c>
      <c r="AC31" s="1777">
        <v>-9112000</v>
      </c>
      <c r="AD31" s="1777">
        <v>0</v>
      </c>
      <c r="AE31" s="1777">
        <v>699484000</v>
      </c>
      <c r="AF31" s="1777">
        <v>12536494839.49</v>
      </c>
      <c r="AG31" s="1777">
        <v>-573076320</v>
      </c>
      <c r="AH31" s="1777">
        <v>256730000</v>
      </c>
      <c r="AI31" s="1777">
        <v>-11621605200</v>
      </c>
      <c r="AJ31" s="1777">
        <v>-1275242500</v>
      </c>
      <c r="AK31" s="1777">
        <v>3044321000</v>
      </c>
      <c r="AL31" s="1777">
        <v>0</v>
      </c>
      <c r="AM31" s="1777">
        <v>0</v>
      </c>
      <c r="AN31" s="1765">
        <f t="shared" si="0"/>
        <v>-3936866032.2800007</v>
      </c>
    </row>
    <row r="32" spans="2:40" s="1779" customFormat="1" ht="12.75">
      <c r="B32" s="1778"/>
      <c r="C32" s="1777"/>
      <c r="D32" s="1777"/>
      <c r="E32" s="1777"/>
      <c r="F32" s="1777"/>
      <c r="G32" s="1777"/>
      <c r="H32" s="1777"/>
      <c r="I32" s="1777"/>
      <c r="J32" s="1777"/>
      <c r="K32" s="1777"/>
      <c r="L32" s="1777"/>
      <c r="M32" s="1777"/>
      <c r="N32" s="1777"/>
      <c r="O32" s="1777"/>
      <c r="P32" s="1777"/>
      <c r="Q32" s="1777"/>
      <c r="R32" s="1777"/>
      <c r="S32" s="1777"/>
      <c r="T32" s="1777"/>
      <c r="U32" s="1777"/>
      <c r="V32" s="1777"/>
      <c r="W32" s="1777"/>
      <c r="X32" s="1777"/>
      <c r="Y32" s="1777"/>
      <c r="Z32" s="1777"/>
      <c r="AA32" s="1777"/>
      <c r="AB32" s="1777"/>
      <c r="AC32" s="1777"/>
      <c r="AD32" s="1777"/>
      <c r="AE32" s="1777"/>
      <c r="AF32" s="1777"/>
      <c r="AG32" s="1777"/>
      <c r="AH32" s="1777"/>
      <c r="AI32" s="1777"/>
      <c r="AJ32" s="1777"/>
      <c r="AK32" s="1777"/>
      <c r="AL32" s="1777"/>
      <c r="AM32" s="1777"/>
      <c r="AN32" s="1777">
        <v>0</v>
      </c>
    </row>
    <row r="33" spans="2:40" s="1781" customFormat="1" ht="12.75">
      <c r="B33" s="1780" t="s">
        <v>2190</v>
      </c>
      <c r="C33" s="1765">
        <f>SUM(C8:C10)</f>
        <v>551117801440.26831</v>
      </c>
      <c r="D33" s="1765">
        <f t="shared" ref="D33:AN33" si="2">SUM(D8:D10)</f>
        <v>18027986184.490002</v>
      </c>
      <c r="E33" s="1765">
        <f t="shared" si="2"/>
        <v>279784583732.27002</v>
      </c>
      <c r="F33" s="1765">
        <f t="shared" si="2"/>
        <v>43109852823.019997</v>
      </c>
      <c r="G33" s="1765">
        <f t="shared" si="2"/>
        <v>1901343473305.8503</v>
      </c>
      <c r="H33" s="1765">
        <f t="shared" si="2"/>
        <v>25737234565.919998</v>
      </c>
      <c r="I33" s="1765">
        <f t="shared" si="2"/>
        <v>3048232289</v>
      </c>
      <c r="J33" s="1765">
        <f t="shared" si="2"/>
        <v>1513917304</v>
      </c>
      <c r="K33" s="1765">
        <f t="shared" si="2"/>
        <v>14737170114</v>
      </c>
      <c r="L33" s="1765">
        <f t="shared" si="2"/>
        <v>9687394843</v>
      </c>
      <c r="M33" s="1765">
        <f t="shared" si="2"/>
        <v>34524031991.279999</v>
      </c>
      <c r="N33" s="1765">
        <f t="shared" si="2"/>
        <v>3343714338</v>
      </c>
      <c r="O33" s="1765">
        <f t="shared" si="2"/>
        <v>493649188</v>
      </c>
      <c r="P33" s="1765">
        <f t="shared" si="2"/>
        <v>6819464318.5</v>
      </c>
      <c r="Q33" s="1765">
        <f t="shared" si="2"/>
        <v>1915743719</v>
      </c>
      <c r="R33" s="1765">
        <f t="shared" si="2"/>
        <v>82722960882.470001</v>
      </c>
      <c r="S33" s="1765">
        <f t="shared" si="2"/>
        <v>10327728928</v>
      </c>
      <c r="T33" s="1765">
        <f t="shared" si="2"/>
        <v>15474805104</v>
      </c>
      <c r="U33" s="1765">
        <f t="shared" si="2"/>
        <v>3003367900</v>
      </c>
      <c r="V33" s="1765">
        <f t="shared" si="2"/>
        <v>107571814001</v>
      </c>
      <c r="W33" s="1765">
        <f t="shared" si="2"/>
        <v>7264231029.8333015</v>
      </c>
      <c r="X33" s="1765">
        <f t="shared" si="2"/>
        <v>4308669244</v>
      </c>
      <c r="Y33" s="1765">
        <f t="shared" si="2"/>
        <v>115389415064.87</v>
      </c>
      <c r="Z33" s="1765">
        <f t="shared" si="2"/>
        <v>37217951013</v>
      </c>
      <c r="AA33" s="1765">
        <f t="shared" si="2"/>
        <v>10817599467.68</v>
      </c>
      <c r="AB33" s="1765">
        <f t="shared" si="2"/>
        <v>42935571454.400002</v>
      </c>
      <c r="AC33" s="1765">
        <f t="shared" si="2"/>
        <v>7076075212.5</v>
      </c>
      <c r="AD33" s="1765">
        <f t="shared" si="2"/>
        <v>11705753940</v>
      </c>
      <c r="AE33" s="1765">
        <f t="shared" si="2"/>
        <v>46517945873.900024</v>
      </c>
      <c r="AF33" s="1765">
        <f t="shared" si="2"/>
        <v>157653740685.40002</v>
      </c>
      <c r="AG33" s="1765">
        <f t="shared" si="2"/>
        <v>19425863603</v>
      </c>
      <c r="AH33" s="1765">
        <f t="shared" si="2"/>
        <v>3208003477</v>
      </c>
      <c r="AI33" s="1765">
        <f t="shared" si="2"/>
        <v>404403008026</v>
      </c>
      <c r="AJ33" s="1765">
        <f t="shared" si="2"/>
        <v>32202929493</v>
      </c>
      <c r="AK33" s="1765">
        <f t="shared" si="2"/>
        <v>16246138895</v>
      </c>
      <c r="AL33" s="1765">
        <f t="shared" si="2"/>
        <v>0</v>
      </c>
      <c r="AM33" s="1765">
        <f t="shared" si="2"/>
        <v>0</v>
      </c>
      <c r="AN33" s="1765">
        <f t="shared" si="2"/>
        <v>4030677823451.6509</v>
      </c>
    </row>
    <row r="34" spans="2:40">
      <c r="G34" s="1754"/>
      <c r="H34" s="1754"/>
      <c r="I34" s="1754"/>
      <c r="J34" s="1754"/>
      <c r="K34" s="1754"/>
      <c r="L34" s="1754"/>
      <c r="M34" s="1754"/>
      <c r="N34" s="1754"/>
      <c r="O34" s="1754"/>
      <c r="P34" s="1754"/>
      <c r="Q34" s="1754"/>
      <c r="R34" s="1754"/>
      <c r="S34" s="1754"/>
      <c r="T34" s="1754"/>
    </row>
    <row r="35" spans="2:40">
      <c r="C35" s="1783"/>
      <c r="G35" s="1754"/>
      <c r="H35" s="1754"/>
      <c r="I35" s="1754"/>
      <c r="J35" s="1754"/>
      <c r="K35" s="1754"/>
      <c r="L35" s="1754"/>
      <c r="M35" s="1754"/>
      <c r="N35" s="1754"/>
      <c r="O35" s="1754"/>
      <c r="P35" s="1754"/>
      <c r="Q35" s="1754"/>
      <c r="R35" s="1754"/>
      <c r="S35" s="1754"/>
      <c r="T35" s="1754"/>
      <c r="AN35" s="1782"/>
    </row>
    <row r="36" spans="2:40">
      <c r="C36" s="1783"/>
      <c r="G36" s="1754"/>
      <c r="H36" s="1754"/>
      <c r="I36" s="1754"/>
      <c r="J36" s="1754"/>
      <c r="K36" s="1754"/>
      <c r="L36" s="1754"/>
      <c r="M36" s="1754"/>
      <c r="N36" s="1754"/>
      <c r="O36" s="1754"/>
      <c r="P36" s="1754"/>
      <c r="Q36" s="1754"/>
      <c r="R36" s="1754"/>
      <c r="S36" s="1754"/>
      <c r="T36" s="1754"/>
    </row>
    <row r="37" spans="2:40">
      <c r="C37" s="1783"/>
      <c r="G37" s="1754"/>
      <c r="H37" s="1754"/>
      <c r="I37" s="1754"/>
      <c r="J37" s="1754"/>
      <c r="K37" s="1754"/>
      <c r="L37" s="1754"/>
      <c r="M37" s="1754"/>
      <c r="N37" s="1754"/>
      <c r="O37" s="1754"/>
      <c r="P37" s="1754"/>
      <c r="Q37" s="1754"/>
      <c r="R37" s="1754"/>
      <c r="S37" s="1754"/>
      <c r="T37" s="1754"/>
      <c r="AN37" s="1754"/>
    </row>
    <row r="38" spans="2:40">
      <c r="C38" s="1783"/>
      <c r="G38" s="1754"/>
      <c r="H38" s="1754"/>
      <c r="I38" s="1754"/>
      <c r="J38" s="1754"/>
      <c r="K38" s="1754"/>
      <c r="L38" s="1754"/>
      <c r="M38" s="1754"/>
      <c r="N38" s="1754"/>
      <c r="O38" s="1754"/>
      <c r="P38" s="1754"/>
      <c r="Q38" s="1754"/>
      <c r="R38" s="1754"/>
      <c r="S38" s="1754"/>
      <c r="T38" s="1754"/>
    </row>
    <row r="39" spans="2:40">
      <c r="C39" s="1783"/>
      <c r="G39" s="1754"/>
      <c r="H39" s="1754"/>
      <c r="I39" s="1754"/>
      <c r="J39" s="1754"/>
      <c r="K39" s="1754"/>
      <c r="L39" s="1754"/>
      <c r="M39" s="1754"/>
      <c r="N39" s="1754"/>
      <c r="O39" s="1754"/>
      <c r="P39" s="1754"/>
      <c r="Q39" s="1754"/>
      <c r="R39" s="1754"/>
      <c r="S39" s="1754"/>
      <c r="T39" s="1754"/>
    </row>
    <row r="40" spans="2:40">
      <c r="C40" s="1783"/>
      <c r="G40" s="1754"/>
      <c r="H40" s="1754"/>
      <c r="I40" s="1754"/>
      <c r="J40" s="1754"/>
      <c r="K40" s="1754"/>
      <c r="L40" s="1754"/>
      <c r="M40" s="1754"/>
      <c r="N40" s="1754"/>
      <c r="O40" s="1754"/>
      <c r="P40" s="1754"/>
      <c r="Q40" s="1754"/>
      <c r="R40" s="1754"/>
      <c r="S40" s="1754"/>
      <c r="T40" s="1754"/>
    </row>
    <row r="41" spans="2:40">
      <c r="C41" s="1783"/>
      <c r="G41" s="1754"/>
      <c r="H41" s="1754"/>
      <c r="I41" s="1754"/>
      <c r="J41" s="1754"/>
      <c r="K41" s="1754"/>
      <c r="L41" s="1754"/>
      <c r="M41" s="1754"/>
      <c r="N41" s="1754"/>
      <c r="O41" s="1754"/>
      <c r="P41" s="1754"/>
      <c r="Q41" s="1754"/>
      <c r="R41" s="1754"/>
      <c r="S41" s="1754"/>
      <c r="T41" s="1754"/>
    </row>
    <row r="42" spans="2:40">
      <c r="C42" s="1783"/>
      <c r="G42" s="1754"/>
      <c r="H42" s="1754"/>
      <c r="I42" s="1754"/>
      <c r="J42" s="1754"/>
      <c r="K42" s="1754"/>
      <c r="L42" s="1754"/>
      <c r="M42" s="1754"/>
      <c r="N42" s="1754"/>
      <c r="O42" s="1754"/>
      <c r="P42" s="1754"/>
      <c r="Q42" s="1754"/>
      <c r="R42" s="1754"/>
      <c r="S42" s="1754"/>
      <c r="T42" s="1754"/>
    </row>
    <row r="43" spans="2:40">
      <c r="C43" s="1783"/>
      <c r="G43" s="1754"/>
      <c r="H43" s="1754"/>
      <c r="I43" s="1754"/>
      <c r="J43" s="1754"/>
      <c r="K43" s="1754"/>
      <c r="L43" s="1754"/>
      <c r="M43" s="1754"/>
      <c r="N43" s="1754"/>
      <c r="O43" s="1754"/>
      <c r="P43" s="1754"/>
      <c r="Q43" s="1754"/>
      <c r="R43" s="1754"/>
      <c r="S43" s="1754"/>
      <c r="T43" s="1754"/>
    </row>
    <row r="44" spans="2:40">
      <c r="C44" s="1783"/>
      <c r="G44" s="1754"/>
      <c r="H44" s="1754"/>
      <c r="I44" s="1754"/>
      <c r="J44" s="1754"/>
      <c r="K44" s="1754"/>
      <c r="L44" s="1754"/>
      <c r="M44" s="1754"/>
      <c r="N44" s="1754"/>
      <c r="O44" s="1754"/>
      <c r="P44" s="1754"/>
      <c r="Q44" s="1754"/>
      <c r="R44" s="1754"/>
      <c r="S44" s="1754"/>
      <c r="T44" s="1754"/>
    </row>
    <row r="45" spans="2:40">
      <c r="C45" s="1783"/>
      <c r="G45" s="1754"/>
      <c r="H45" s="1754"/>
      <c r="I45" s="1754"/>
      <c r="J45" s="1754"/>
      <c r="K45" s="1754"/>
      <c r="L45" s="1754"/>
      <c r="M45" s="1754"/>
      <c r="N45" s="1754"/>
      <c r="O45" s="1754"/>
      <c r="P45" s="1754"/>
      <c r="Q45" s="1754"/>
      <c r="R45" s="1754"/>
      <c r="S45" s="1754"/>
      <c r="T45" s="1754"/>
      <c r="AA45" s="1782"/>
    </row>
    <row r="46" spans="2:40">
      <c r="G46" s="1754"/>
      <c r="H46" s="1754"/>
      <c r="I46" s="1754"/>
      <c r="J46" s="1754"/>
      <c r="K46" s="1754"/>
      <c r="L46" s="1754"/>
      <c r="M46" s="1754"/>
      <c r="N46" s="1754"/>
      <c r="O46" s="1754"/>
      <c r="P46" s="1754"/>
      <c r="Q46" s="1754"/>
      <c r="R46" s="1754"/>
      <c r="S46" s="1754"/>
      <c r="T46" s="1754"/>
      <c r="AA46" s="1782"/>
    </row>
    <row r="47" spans="2:40">
      <c r="G47" s="1754"/>
      <c r="H47" s="1754"/>
      <c r="I47" s="1754"/>
      <c r="J47" s="1754"/>
      <c r="K47" s="1754"/>
      <c r="L47" s="1754"/>
      <c r="M47" s="1754"/>
      <c r="N47" s="1754"/>
      <c r="O47" s="1754"/>
      <c r="P47" s="1754"/>
      <c r="Q47" s="1754"/>
      <c r="R47" s="1754"/>
      <c r="S47" s="1754"/>
      <c r="T47" s="1754"/>
      <c r="AA47" s="1782"/>
    </row>
    <row r="48" spans="2:40">
      <c r="G48" s="1754"/>
      <c r="H48" s="1754"/>
      <c r="I48" s="1754"/>
      <c r="J48" s="1754"/>
      <c r="K48" s="1754"/>
      <c r="L48" s="1754"/>
      <c r="M48" s="1754"/>
      <c r="N48" s="1754"/>
      <c r="O48" s="1754"/>
      <c r="P48" s="1754"/>
      <c r="Q48" s="1754"/>
      <c r="R48" s="1754"/>
      <c r="S48" s="1754"/>
      <c r="T48" s="1754"/>
      <c r="AA48" s="1782"/>
    </row>
    <row r="49" spans="7:27">
      <c r="G49" s="1754"/>
      <c r="H49" s="1754"/>
      <c r="I49" s="1754"/>
      <c r="J49" s="1754"/>
      <c r="K49" s="1754"/>
      <c r="L49" s="1754"/>
      <c r="M49" s="1754"/>
      <c r="N49" s="1754"/>
      <c r="O49" s="1754"/>
      <c r="P49" s="1754"/>
      <c r="Q49" s="1754"/>
      <c r="R49" s="1754"/>
      <c r="S49" s="1754"/>
      <c r="T49" s="1754"/>
      <c r="AA49" s="1782"/>
    </row>
    <row r="50" spans="7:27">
      <c r="G50" s="1754"/>
      <c r="H50" s="1754"/>
      <c r="I50" s="1754"/>
      <c r="J50" s="1754"/>
      <c r="K50" s="1754"/>
      <c r="L50" s="1754"/>
      <c r="M50" s="1754"/>
      <c r="N50" s="1754"/>
      <c r="O50" s="1754"/>
      <c r="P50" s="1754"/>
      <c r="Q50" s="1754"/>
      <c r="R50" s="1754"/>
      <c r="S50" s="1754"/>
      <c r="T50" s="1754"/>
      <c r="AA50" s="1782"/>
    </row>
    <row r="51" spans="7:27">
      <c r="G51" s="1754"/>
      <c r="H51" s="1754"/>
      <c r="I51" s="1754"/>
      <c r="J51" s="1754"/>
      <c r="K51" s="1754"/>
      <c r="L51" s="1754"/>
      <c r="M51" s="1754"/>
      <c r="N51" s="1754"/>
      <c r="O51" s="1754"/>
      <c r="P51" s="1754"/>
      <c r="Q51" s="1754"/>
      <c r="R51" s="1754"/>
      <c r="S51" s="1754"/>
      <c r="T51" s="1754"/>
      <c r="AA51" s="1782"/>
    </row>
    <row r="52" spans="7:27">
      <c r="G52" s="1754"/>
      <c r="H52" s="1754"/>
      <c r="I52" s="1754"/>
      <c r="J52" s="1754"/>
      <c r="K52" s="1754"/>
      <c r="L52" s="1754"/>
      <c r="M52" s="1754"/>
      <c r="N52" s="1754"/>
      <c r="O52" s="1754"/>
      <c r="P52" s="1754"/>
      <c r="Q52" s="1754"/>
      <c r="R52" s="1754"/>
      <c r="S52" s="1754"/>
      <c r="T52" s="1754"/>
      <c r="AA52" s="1782"/>
    </row>
    <row r="53" spans="7:27">
      <c r="G53" s="1754"/>
      <c r="H53" s="1754"/>
      <c r="I53" s="1754"/>
      <c r="J53" s="1754"/>
      <c r="K53" s="1754"/>
      <c r="L53" s="1754"/>
      <c r="M53" s="1754"/>
      <c r="N53" s="1754"/>
      <c r="O53" s="1754"/>
      <c r="P53" s="1754"/>
      <c r="Q53" s="1754"/>
      <c r="R53" s="1754"/>
      <c r="S53" s="1754"/>
      <c r="T53" s="1754"/>
      <c r="AA53" s="1782"/>
    </row>
    <row r="54" spans="7:27">
      <c r="G54" s="1754"/>
      <c r="H54" s="1754"/>
      <c r="I54" s="1754"/>
      <c r="J54" s="1754"/>
      <c r="K54" s="1754"/>
      <c r="L54" s="1754"/>
      <c r="M54" s="1754"/>
      <c r="N54" s="1754"/>
      <c r="O54" s="1754"/>
      <c r="P54" s="1754"/>
      <c r="Q54" s="1754"/>
      <c r="R54" s="1754"/>
      <c r="S54" s="1754"/>
      <c r="T54" s="1754"/>
      <c r="AA54" s="1782"/>
    </row>
    <row r="55" spans="7:27">
      <c r="G55" s="1754"/>
      <c r="H55" s="1754"/>
      <c r="I55" s="1754"/>
      <c r="J55" s="1754"/>
      <c r="K55" s="1754"/>
      <c r="L55" s="1754"/>
      <c r="M55" s="1754"/>
      <c r="N55" s="1754"/>
      <c r="O55" s="1754"/>
      <c r="P55" s="1754"/>
      <c r="Q55" s="1754"/>
      <c r="R55" s="1754"/>
      <c r="S55" s="1754"/>
      <c r="T55" s="1754"/>
      <c r="AA55" s="1782"/>
    </row>
    <row r="56" spans="7:27">
      <c r="G56" s="1754"/>
      <c r="H56" s="1754"/>
      <c r="I56" s="1754"/>
      <c r="J56" s="1754"/>
      <c r="K56" s="1754"/>
      <c r="L56" s="1754"/>
      <c r="M56" s="1754"/>
      <c r="N56" s="1754"/>
      <c r="O56" s="1754"/>
      <c r="P56" s="1754"/>
      <c r="Q56" s="1754"/>
      <c r="R56" s="1754"/>
      <c r="S56" s="1754"/>
      <c r="T56" s="1754"/>
      <c r="AA56" s="1782"/>
    </row>
    <row r="57" spans="7:27">
      <c r="G57" s="1754"/>
      <c r="H57" s="1754"/>
      <c r="I57" s="1754"/>
      <c r="J57" s="1754"/>
      <c r="K57" s="1754"/>
      <c r="L57" s="1754"/>
      <c r="M57" s="1754"/>
      <c r="N57" s="1754"/>
      <c r="O57" s="1754"/>
      <c r="P57" s="1754"/>
      <c r="Q57" s="1754"/>
      <c r="R57" s="1754"/>
      <c r="S57" s="1754"/>
      <c r="T57" s="1754"/>
      <c r="AA57" s="1782"/>
    </row>
    <row r="58" spans="7:27">
      <c r="G58" s="1754"/>
      <c r="H58" s="1754"/>
      <c r="I58" s="1754"/>
      <c r="J58" s="1754"/>
      <c r="K58" s="1754"/>
      <c r="L58" s="1754"/>
      <c r="M58" s="1754"/>
      <c r="N58" s="1754"/>
      <c r="O58" s="1754"/>
      <c r="P58" s="1754"/>
      <c r="Q58" s="1754"/>
      <c r="R58" s="1754"/>
      <c r="S58" s="1754"/>
      <c r="T58" s="1754"/>
      <c r="AA58" s="1782"/>
    </row>
    <row r="59" spans="7:27">
      <c r="G59" s="1754"/>
      <c r="H59" s="1754"/>
      <c r="I59" s="1754"/>
      <c r="J59" s="1754"/>
      <c r="K59" s="1754"/>
      <c r="L59" s="1754"/>
      <c r="M59" s="1754"/>
      <c r="N59" s="1754"/>
      <c r="O59" s="1754"/>
      <c r="P59" s="1754"/>
      <c r="Q59" s="1754"/>
      <c r="R59" s="1754"/>
      <c r="S59" s="1754"/>
      <c r="T59" s="1754"/>
      <c r="AA59" s="1782"/>
    </row>
    <row r="60" spans="7:27">
      <c r="G60" s="1754"/>
      <c r="H60" s="1754"/>
      <c r="I60" s="1754"/>
      <c r="J60" s="1754"/>
      <c r="K60" s="1754"/>
      <c r="L60" s="1754"/>
      <c r="M60" s="1754"/>
      <c r="N60" s="1754"/>
      <c r="O60" s="1754"/>
      <c r="P60" s="1754"/>
      <c r="Q60" s="1754"/>
      <c r="R60" s="1754"/>
      <c r="S60" s="1754"/>
      <c r="T60" s="1754"/>
      <c r="AA60" s="1782"/>
    </row>
    <row r="61" spans="7:27">
      <c r="G61" s="1754"/>
      <c r="H61" s="1754"/>
      <c r="I61" s="1754"/>
      <c r="J61" s="1754"/>
      <c r="K61" s="1754"/>
      <c r="L61" s="1754"/>
      <c r="M61" s="1754"/>
      <c r="N61" s="1754"/>
      <c r="O61" s="1754"/>
      <c r="P61" s="1754"/>
      <c r="Q61" s="1754"/>
      <c r="R61" s="1754"/>
      <c r="S61" s="1754"/>
      <c r="T61" s="1754"/>
      <c r="AA61" s="1782"/>
    </row>
    <row r="62" spans="7:27">
      <c r="G62" s="1754"/>
      <c r="H62" s="1754"/>
      <c r="I62" s="1754"/>
      <c r="J62" s="1754"/>
      <c r="K62" s="1754"/>
      <c r="L62" s="1754"/>
      <c r="M62" s="1754"/>
      <c r="N62" s="1754"/>
      <c r="O62" s="1754"/>
      <c r="P62" s="1754"/>
      <c r="Q62" s="1754"/>
      <c r="R62" s="1754"/>
      <c r="S62" s="1754"/>
      <c r="T62" s="1754"/>
      <c r="AA62" s="1782"/>
    </row>
    <row r="63" spans="7:27">
      <c r="G63" s="1754"/>
      <c r="H63" s="1754"/>
      <c r="I63" s="1754"/>
      <c r="J63" s="1754"/>
      <c r="K63" s="1754"/>
      <c r="L63" s="1754"/>
      <c r="M63" s="1754"/>
      <c r="N63" s="1754"/>
      <c r="O63" s="1754"/>
      <c r="P63" s="1754"/>
      <c r="Q63" s="1754"/>
      <c r="R63" s="1754"/>
      <c r="S63" s="1754"/>
      <c r="T63" s="1754"/>
      <c r="AA63" s="1782"/>
    </row>
    <row r="64" spans="7:27">
      <c r="G64" s="1754"/>
      <c r="H64" s="1754"/>
      <c r="I64" s="1754"/>
      <c r="J64" s="1754"/>
      <c r="K64" s="1754"/>
      <c r="L64" s="1754"/>
      <c r="M64" s="1754"/>
      <c r="N64" s="1754"/>
      <c r="O64" s="1754"/>
      <c r="P64" s="1754"/>
      <c r="Q64" s="1754"/>
      <c r="R64" s="1754"/>
      <c r="S64" s="1754"/>
      <c r="T64" s="1754"/>
      <c r="AA64" s="1782"/>
    </row>
    <row r="65" spans="7:27">
      <c r="G65" s="1754"/>
      <c r="H65" s="1754"/>
      <c r="I65" s="1754"/>
      <c r="J65" s="1754"/>
      <c r="K65" s="1754"/>
      <c r="L65" s="1754"/>
      <c r="M65" s="1754"/>
      <c r="N65" s="1754"/>
      <c r="O65" s="1754"/>
      <c r="P65" s="1754"/>
      <c r="Q65" s="1754"/>
      <c r="R65" s="1754"/>
      <c r="S65" s="1754"/>
      <c r="T65" s="1754"/>
      <c r="AA65" s="1782"/>
    </row>
    <row r="66" spans="7:27">
      <c r="G66" s="1754"/>
      <c r="H66" s="1754"/>
      <c r="I66" s="1754"/>
      <c r="J66" s="1754"/>
      <c r="K66" s="1754"/>
      <c r="L66" s="1754"/>
      <c r="M66" s="1754"/>
      <c r="N66" s="1754"/>
      <c r="O66" s="1754"/>
      <c r="P66" s="1754"/>
      <c r="Q66" s="1754"/>
      <c r="R66" s="1754"/>
      <c r="S66" s="1754"/>
      <c r="T66" s="1754"/>
    </row>
    <row r="67" spans="7:27">
      <c r="G67" s="1754"/>
      <c r="H67" s="1754"/>
      <c r="I67" s="1754"/>
      <c r="J67" s="1754"/>
      <c r="K67" s="1754"/>
      <c r="L67" s="1754"/>
      <c r="M67" s="1754"/>
      <c r="N67" s="1754"/>
      <c r="O67" s="1754"/>
      <c r="P67" s="1754"/>
      <c r="Q67" s="1754"/>
      <c r="R67" s="1754"/>
      <c r="S67" s="1754"/>
      <c r="T67" s="1754"/>
    </row>
  </sheetData>
  <mergeCells count="2">
    <mergeCell ref="B2:L2"/>
    <mergeCell ref="B3:L3"/>
  </mergeCells>
  <pageMargins left="0.45" right="0.16" top="0.88" bottom="0.75" header="0.31" footer="0.31"/>
  <pageSetup paperSize="9" scale="50" orientation="landscape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>
  <sheetPr>
    <tabColor rgb="FF00B0F0"/>
  </sheetPr>
  <dimension ref="A1:H99"/>
  <sheetViews>
    <sheetView topLeftCell="A46" workbookViewId="0">
      <selection activeCell="A59" sqref="A59:E59"/>
    </sheetView>
  </sheetViews>
  <sheetFormatPr defaultColWidth="8.85546875" defaultRowHeight="15"/>
  <cols>
    <col min="1" max="1" width="7.7109375" style="4" customWidth="1"/>
    <col min="2" max="2" width="35.5703125" style="5" customWidth="1"/>
    <col min="3" max="4" width="17.42578125" style="6" customWidth="1"/>
    <col min="5" max="5" width="17.7109375" style="5" customWidth="1"/>
    <col min="6" max="16384" width="8.85546875" style="5"/>
  </cols>
  <sheetData>
    <row r="1" spans="1:8">
      <c r="A1" s="1954" t="s">
        <v>0</v>
      </c>
      <c r="B1" s="1954"/>
      <c r="C1" s="1954"/>
      <c r="D1" s="1954"/>
      <c r="E1" s="1954"/>
      <c r="F1" s="20"/>
      <c r="G1" s="20"/>
      <c r="H1" s="20"/>
    </row>
    <row r="2" spans="1:8">
      <c r="A2" s="1954" t="s">
        <v>2191</v>
      </c>
      <c r="B2" s="1954"/>
      <c r="C2" s="1954"/>
      <c r="D2" s="1954"/>
      <c r="E2" s="1954"/>
      <c r="F2" s="20"/>
      <c r="G2" s="20"/>
      <c r="H2" s="20"/>
    </row>
    <row r="3" spans="1:8">
      <c r="A3" s="1954" t="s">
        <v>2</v>
      </c>
      <c r="B3" s="1954"/>
      <c r="C3" s="1954"/>
      <c r="D3" s="1954"/>
      <c r="E3" s="1954"/>
      <c r="F3" s="20"/>
      <c r="G3" s="20"/>
      <c r="H3" s="20"/>
    </row>
    <row r="4" spans="1:8">
      <c r="E4" s="7" t="s">
        <v>2162</v>
      </c>
    </row>
    <row r="5" spans="1:8" ht="14.45" customHeight="1">
      <c r="A5" s="13"/>
      <c r="B5" s="14"/>
      <c r="C5" s="2215" t="s">
        <v>2192</v>
      </c>
      <c r="D5" s="2216"/>
      <c r="E5" s="2217"/>
    </row>
    <row r="6" spans="1:8">
      <c r="A6" s="24" t="s">
        <v>1546</v>
      </c>
      <c r="B6" s="24" t="s">
        <v>2193</v>
      </c>
      <c r="C6" s="47" t="s">
        <v>2194</v>
      </c>
      <c r="D6" s="47" t="s">
        <v>2195</v>
      </c>
      <c r="E6" s="24" t="s">
        <v>197</v>
      </c>
    </row>
    <row r="7" spans="1:8">
      <c r="A7" s="13">
        <v>1</v>
      </c>
      <c r="B7" s="14" t="s">
        <v>2196</v>
      </c>
      <c r="C7" s="26">
        <v>0</v>
      </c>
      <c r="D7" s="26">
        <v>219065000</v>
      </c>
      <c r="E7" s="45">
        <f>C7+D7</f>
        <v>219065000</v>
      </c>
    </row>
    <row r="8" spans="1:8">
      <c r="A8" s="13">
        <v>2</v>
      </c>
      <c r="B8" s="14" t="s">
        <v>2197</v>
      </c>
      <c r="C8" s="26">
        <v>203400000</v>
      </c>
      <c r="D8" s="26">
        <v>0</v>
      </c>
      <c r="E8" s="45">
        <f t="shared" ref="E8:E71" si="0">C8+D8</f>
        <v>203400000</v>
      </c>
    </row>
    <row r="9" spans="1:8">
      <c r="A9" s="13">
        <v>3</v>
      </c>
      <c r="B9" s="14" t="s">
        <v>2198</v>
      </c>
      <c r="C9" s="26">
        <v>0</v>
      </c>
      <c r="D9" s="26">
        <v>0</v>
      </c>
      <c r="E9" s="45">
        <f t="shared" si="0"/>
        <v>0</v>
      </c>
    </row>
    <row r="10" spans="1:8">
      <c r="A10" s="13">
        <v>4</v>
      </c>
      <c r="B10" s="14" t="s">
        <v>2199</v>
      </c>
      <c r="C10" s="26">
        <v>0</v>
      </c>
      <c r="D10" s="26">
        <v>155000000</v>
      </c>
      <c r="E10" s="45">
        <f t="shared" si="0"/>
        <v>155000000</v>
      </c>
    </row>
    <row r="11" spans="1:8">
      <c r="A11" s="13">
        <v>5</v>
      </c>
      <c r="B11" s="14" t="s">
        <v>2200</v>
      </c>
      <c r="C11" s="26"/>
      <c r="D11" s="26"/>
      <c r="E11" s="45">
        <f t="shared" si="0"/>
        <v>0</v>
      </c>
    </row>
    <row r="12" spans="1:8">
      <c r="A12" s="13">
        <v>6</v>
      </c>
      <c r="B12" s="14" t="s">
        <v>2201</v>
      </c>
      <c r="C12" s="26"/>
      <c r="D12" s="26"/>
      <c r="E12" s="45">
        <f t="shared" si="0"/>
        <v>0</v>
      </c>
    </row>
    <row r="13" spans="1:8">
      <c r="A13" s="13">
        <v>7</v>
      </c>
      <c r="B13" s="14" t="s">
        <v>2202</v>
      </c>
      <c r="C13" s="26">
        <v>0</v>
      </c>
      <c r="D13" s="26">
        <v>218442000</v>
      </c>
      <c r="E13" s="45">
        <f t="shared" si="0"/>
        <v>218442000</v>
      </c>
    </row>
    <row r="14" spans="1:8">
      <c r="A14" s="13">
        <v>8</v>
      </c>
      <c r="B14" s="14" t="s">
        <v>2203</v>
      </c>
      <c r="C14" s="26">
        <v>0</v>
      </c>
      <c r="D14" s="26">
        <v>219150000</v>
      </c>
      <c r="E14" s="45">
        <f t="shared" si="0"/>
        <v>219150000</v>
      </c>
    </row>
    <row r="15" spans="1:8">
      <c r="A15" s="13">
        <v>9</v>
      </c>
      <c r="B15" s="14" t="s">
        <v>2204</v>
      </c>
      <c r="C15" s="26">
        <v>0</v>
      </c>
      <c r="D15" s="26">
        <v>56000000</v>
      </c>
      <c r="E15" s="45">
        <f t="shared" si="0"/>
        <v>56000000</v>
      </c>
    </row>
    <row r="16" spans="1:8">
      <c r="A16" s="13">
        <v>10</v>
      </c>
      <c r="B16" s="14" t="s">
        <v>2205</v>
      </c>
      <c r="C16" s="26"/>
      <c r="D16" s="26"/>
      <c r="E16" s="45">
        <f t="shared" si="0"/>
        <v>0</v>
      </c>
    </row>
    <row r="17" spans="1:5">
      <c r="A17" s="13">
        <v>11</v>
      </c>
      <c r="B17" s="14" t="s">
        <v>2206</v>
      </c>
      <c r="C17" s="26">
        <v>0</v>
      </c>
      <c r="D17" s="26">
        <v>812495000</v>
      </c>
      <c r="E17" s="45">
        <f t="shared" si="0"/>
        <v>812495000</v>
      </c>
    </row>
    <row r="18" spans="1:5">
      <c r="A18" s="13">
        <v>12</v>
      </c>
      <c r="B18" s="14" t="s">
        <v>2207</v>
      </c>
      <c r="C18" s="26">
        <v>0</v>
      </c>
      <c r="D18" s="26"/>
      <c r="E18" s="45">
        <f t="shared" si="0"/>
        <v>0</v>
      </c>
    </row>
    <row r="19" spans="1:5">
      <c r="A19" s="13">
        <v>13</v>
      </c>
      <c r="B19" s="14" t="s">
        <v>2208</v>
      </c>
      <c r="C19" s="26">
        <v>0</v>
      </c>
      <c r="D19" s="26">
        <v>155000000</v>
      </c>
      <c r="E19" s="45">
        <f t="shared" si="0"/>
        <v>155000000</v>
      </c>
    </row>
    <row r="20" spans="1:5">
      <c r="A20" s="13">
        <v>14</v>
      </c>
      <c r="B20" s="14" t="s">
        <v>2209</v>
      </c>
      <c r="C20" s="26">
        <v>0</v>
      </c>
      <c r="D20" s="26">
        <v>217715000</v>
      </c>
      <c r="E20" s="45">
        <f t="shared" si="0"/>
        <v>217715000</v>
      </c>
    </row>
    <row r="21" spans="1:5">
      <c r="A21" s="13">
        <v>15</v>
      </c>
      <c r="B21" s="14" t="s">
        <v>2210</v>
      </c>
      <c r="C21" s="26">
        <v>0</v>
      </c>
      <c r="D21" s="26">
        <v>155000000</v>
      </c>
      <c r="E21" s="45">
        <f t="shared" si="0"/>
        <v>155000000</v>
      </c>
    </row>
    <row r="22" spans="1:5">
      <c r="A22" s="13">
        <v>16</v>
      </c>
      <c r="B22" s="14" t="s">
        <v>2211</v>
      </c>
      <c r="C22" s="26">
        <v>10000000</v>
      </c>
      <c r="D22" s="26">
        <v>659670000</v>
      </c>
      <c r="E22" s="45">
        <f t="shared" si="0"/>
        <v>669670000</v>
      </c>
    </row>
    <row r="23" spans="1:5">
      <c r="A23" s="13">
        <v>17</v>
      </c>
      <c r="B23" s="14" t="s">
        <v>2212</v>
      </c>
      <c r="C23" s="26">
        <v>0</v>
      </c>
      <c r="D23" s="26">
        <v>0</v>
      </c>
      <c r="E23" s="45">
        <f t="shared" si="0"/>
        <v>0</v>
      </c>
    </row>
    <row r="24" spans="1:5">
      <c r="A24" s="13">
        <v>18</v>
      </c>
      <c r="B24" s="14" t="s">
        <v>2213</v>
      </c>
      <c r="C24" s="26">
        <v>203400000</v>
      </c>
      <c r="D24" s="26">
        <v>90000000</v>
      </c>
      <c r="E24" s="45">
        <f t="shared" si="0"/>
        <v>293400000</v>
      </c>
    </row>
    <row r="25" spans="1:5">
      <c r="A25" s="13">
        <v>19</v>
      </c>
      <c r="B25" s="14" t="s">
        <v>2214</v>
      </c>
      <c r="C25" s="26">
        <v>0</v>
      </c>
      <c r="D25" s="26">
        <v>463415000</v>
      </c>
      <c r="E25" s="45">
        <f t="shared" si="0"/>
        <v>463415000</v>
      </c>
    </row>
    <row r="26" spans="1:5">
      <c r="A26" s="13">
        <v>20</v>
      </c>
      <c r="B26" s="14" t="s">
        <v>2215</v>
      </c>
      <c r="C26" s="26">
        <v>203400000</v>
      </c>
      <c r="D26" s="26">
        <v>0</v>
      </c>
      <c r="E26" s="45">
        <f t="shared" si="0"/>
        <v>203400000</v>
      </c>
    </row>
    <row r="27" spans="1:5">
      <c r="A27" s="13">
        <v>21</v>
      </c>
      <c r="B27" s="14" t="s">
        <v>2216</v>
      </c>
      <c r="C27" s="26">
        <v>0</v>
      </c>
      <c r="D27" s="26">
        <v>0</v>
      </c>
      <c r="E27" s="45">
        <f t="shared" si="0"/>
        <v>0</v>
      </c>
    </row>
    <row r="28" spans="1:5">
      <c r="A28" s="13">
        <v>22</v>
      </c>
      <c r="B28" s="14" t="s">
        <v>2217</v>
      </c>
      <c r="C28" s="26">
        <v>203230000</v>
      </c>
      <c r="D28" s="26">
        <v>0</v>
      </c>
      <c r="E28" s="45">
        <f t="shared" si="0"/>
        <v>203230000</v>
      </c>
    </row>
    <row r="29" spans="1:5">
      <c r="A29" s="13">
        <v>23</v>
      </c>
      <c r="B29" s="14" t="s">
        <v>2218</v>
      </c>
      <c r="C29" s="26">
        <v>0</v>
      </c>
      <c r="D29" s="26">
        <v>148292349</v>
      </c>
      <c r="E29" s="45">
        <f t="shared" si="0"/>
        <v>148292349</v>
      </c>
    </row>
    <row r="30" spans="1:5">
      <c r="A30" s="13">
        <v>24</v>
      </c>
      <c r="B30" s="14" t="s">
        <v>2219</v>
      </c>
      <c r="C30" s="26">
        <v>0</v>
      </c>
      <c r="D30" s="26">
        <v>0</v>
      </c>
      <c r="E30" s="45">
        <f t="shared" si="0"/>
        <v>0</v>
      </c>
    </row>
    <row r="31" spans="1:5">
      <c r="A31" s="13">
        <v>25</v>
      </c>
      <c r="B31" s="14" t="s">
        <v>2220</v>
      </c>
      <c r="C31" s="26">
        <v>0</v>
      </c>
      <c r="D31" s="26">
        <v>0</v>
      </c>
      <c r="E31" s="45">
        <f t="shared" si="0"/>
        <v>0</v>
      </c>
    </row>
    <row r="32" spans="1:5">
      <c r="A32" s="13">
        <v>26</v>
      </c>
      <c r="B32" s="14" t="s">
        <v>2221</v>
      </c>
      <c r="C32" s="26">
        <v>203400000</v>
      </c>
      <c r="D32" s="26">
        <v>457045000</v>
      </c>
      <c r="E32" s="45">
        <f t="shared" si="0"/>
        <v>660445000</v>
      </c>
    </row>
    <row r="33" spans="1:5">
      <c r="A33" s="13">
        <v>27</v>
      </c>
      <c r="B33" s="14" t="s">
        <v>2222</v>
      </c>
      <c r="C33" s="26">
        <v>203400000</v>
      </c>
      <c r="D33" s="26">
        <v>548505000</v>
      </c>
      <c r="E33" s="45">
        <f t="shared" si="0"/>
        <v>751905000</v>
      </c>
    </row>
    <row r="34" spans="1:5">
      <c r="A34" s="13">
        <v>28</v>
      </c>
      <c r="B34" s="14" t="s">
        <v>2223</v>
      </c>
      <c r="C34" s="26"/>
      <c r="D34" s="26"/>
      <c r="E34" s="45">
        <f t="shared" si="0"/>
        <v>0</v>
      </c>
    </row>
    <row r="35" spans="1:5">
      <c r="A35" s="13">
        <v>29</v>
      </c>
      <c r="B35" s="14" t="s">
        <v>2224</v>
      </c>
      <c r="C35" s="26">
        <v>0</v>
      </c>
      <c r="D35" s="26">
        <v>2000000000</v>
      </c>
      <c r="E35" s="45">
        <f t="shared" si="0"/>
        <v>2000000000</v>
      </c>
    </row>
    <row r="36" spans="1:5">
      <c r="A36" s="13">
        <v>30</v>
      </c>
      <c r="B36" s="14" t="s">
        <v>2225</v>
      </c>
      <c r="C36" s="26">
        <v>203400000</v>
      </c>
      <c r="D36" s="26"/>
      <c r="E36" s="45">
        <f t="shared" si="0"/>
        <v>203400000</v>
      </c>
    </row>
    <row r="37" spans="1:5">
      <c r="A37" s="13">
        <v>31</v>
      </c>
      <c r="B37" s="14" t="s">
        <v>2226</v>
      </c>
      <c r="C37" s="26"/>
      <c r="D37" s="26"/>
      <c r="E37" s="45">
        <f t="shared" si="0"/>
        <v>0</v>
      </c>
    </row>
    <row r="38" spans="1:5">
      <c r="A38" s="13">
        <v>32</v>
      </c>
      <c r="B38" s="14" t="s">
        <v>2227</v>
      </c>
      <c r="C38" s="26"/>
      <c r="D38" s="26"/>
      <c r="E38" s="45">
        <f t="shared" si="0"/>
        <v>0</v>
      </c>
    </row>
    <row r="39" spans="1:5">
      <c r="A39" s="13">
        <v>33</v>
      </c>
      <c r="B39" s="14" t="s">
        <v>2228</v>
      </c>
      <c r="C39" s="26">
        <v>71700000</v>
      </c>
      <c r="D39" s="26">
        <v>227190000</v>
      </c>
      <c r="E39" s="45">
        <f t="shared" si="0"/>
        <v>298890000</v>
      </c>
    </row>
    <row r="40" spans="1:5">
      <c r="A40" s="13">
        <v>34</v>
      </c>
      <c r="B40" s="14" t="s">
        <v>2229</v>
      </c>
      <c r="C40" s="26">
        <v>0</v>
      </c>
      <c r="D40" s="26">
        <v>545000934</v>
      </c>
      <c r="E40" s="45">
        <f t="shared" si="0"/>
        <v>545000934</v>
      </c>
    </row>
    <row r="41" spans="1:5">
      <c r="A41" s="13">
        <v>35</v>
      </c>
      <c r="B41" s="14" t="s">
        <v>2230</v>
      </c>
      <c r="C41" s="26">
        <v>0</v>
      </c>
      <c r="D41" s="26">
        <v>227420000</v>
      </c>
      <c r="E41" s="45">
        <f t="shared" si="0"/>
        <v>227420000</v>
      </c>
    </row>
    <row r="42" spans="1:5">
      <c r="A42" s="13">
        <v>36</v>
      </c>
      <c r="B42" s="14" t="s">
        <v>2231</v>
      </c>
      <c r="C42" s="26">
        <v>0</v>
      </c>
      <c r="D42" s="26">
        <v>492335000</v>
      </c>
      <c r="E42" s="45">
        <f t="shared" si="0"/>
        <v>492335000</v>
      </c>
    </row>
    <row r="43" spans="1:5">
      <c r="A43" s="13">
        <v>37</v>
      </c>
      <c r="B43" s="14" t="s">
        <v>2232</v>
      </c>
      <c r="C43" s="26">
        <v>0</v>
      </c>
      <c r="D43" s="26">
        <v>100000000</v>
      </c>
      <c r="E43" s="45">
        <f t="shared" si="0"/>
        <v>100000000</v>
      </c>
    </row>
    <row r="44" spans="1:5">
      <c r="A44" s="13">
        <v>38</v>
      </c>
      <c r="B44" s="14" t="s">
        <v>2233</v>
      </c>
      <c r="C44" s="26">
        <v>203400000</v>
      </c>
      <c r="D44" s="26"/>
      <c r="E44" s="45">
        <f t="shared" si="0"/>
        <v>203400000</v>
      </c>
    </row>
    <row r="45" spans="1:5">
      <c r="A45" s="13">
        <v>39</v>
      </c>
      <c r="B45" s="14" t="s">
        <v>2234</v>
      </c>
      <c r="C45" s="26">
        <v>0</v>
      </c>
      <c r="D45" s="26">
        <v>100000000</v>
      </c>
      <c r="E45" s="45">
        <f t="shared" si="0"/>
        <v>100000000</v>
      </c>
    </row>
    <row r="46" spans="1:5">
      <c r="A46" s="13">
        <v>40</v>
      </c>
      <c r="B46" s="14" t="s">
        <v>2235</v>
      </c>
      <c r="C46" s="26">
        <v>203400000</v>
      </c>
      <c r="D46" s="26"/>
      <c r="E46" s="45">
        <f t="shared" si="0"/>
        <v>203400000</v>
      </c>
    </row>
    <row r="47" spans="1:5">
      <c r="A47" s="13">
        <v>41</v>
      </c>
      <c r="B47" s="14" t="s">
        <v>2236</v>
      </c>
      <c r="C47" s="26">
        <v>0</v>
      </c>
      <c r="D47" s="26">
        <v>451550000</v>
      </c>
      <c r="E47" s="45">
        <f t="shared" si="0"/>
        <v>451550000</v>
      </c>
    </row>
    <row r="48" spans="1:5">
      <c r="A48" s="13">
        <v>42</v>
      </c>
      <c r="B48" s="14" t="s">
        <v>2237</v>
      </c>
      <c r="C48" s="26"/>
      <c r="D48" s="26"/>
      <c r="E48" s="45">
        <f t="shared" si="0"/>
        <v>0</v>
      </c>
    </row>
    <row r="49" spans="1:5">
      <c r="A49" s="13">
        <v>43</v>
      </c>
      <c r="B49" s="14" t="s">
        <v>2238</v>
      </c>
      <c r="C49" s="26">
        <v>0</v>
      </c>
      <c r="D49" s="26">
        <v>228050000</v>
      </c>
      <c r="E49" s="45">
        <f t="shared" si="0"/>
        <v>228050000</v>
      </c>
    </row>
    <row r="50" spans="1:5">
      <c r="A50" s="13">
        <v>44</v>
      </c>
      <c r="B50" s="14" t="s">
        <v>2239</v>
      </c>
      <c r="C50" s="26">
        <v>0</v>
      </c>
      <c r="D50" s="26">
        <v>155000000</v>
      </c>
      <c r="E50" s="45">
        <f t="shared" si="0"/>
        <v>155000000</v>
      </c>
    </row>
    <row r="51" spans="1:5">
      <c r="A51" s="13">
        <v>45</v>
      </c>
      <c r="B51" s="14" t="s">
        <v>2240</v>
      </c>
      <c r="C51" s="26">
        <v>0</v>
      </c>
      <c r="D51" s="26">
        <v>280476000</v>
      </c>
      <c r="E51" s="45">
        <f t="shared" si="0"/>
        <v>280476000</v>
      </c>
    </row>
    <row r="52" spans="1:5">
      <c r="A52" s="13">
        <v>46</v>
      </c>
      <c r="B52" s="14" t="s">
        <v>2241</v>
      </c>
      <c r="C52" s="26">
        <v>64000000</v>
      </c>
      <c r="D52" s="26"/>
      <c r="E52" s="45">
        <f t="shared" si="0"/>
        <v>64000000</v>
      </c>
    </row>
    <row r="53" spans="1:5">
      <c r="A53" s="13">
        <v>47</v>
      </c>
      <c r="B53" s="14" t="s">
        <v>2242</v>
      </c>
      <c r="C53" s="26">
        <v>0</v>
      </c>
      <c r="D53" s="26">
        <v>430476000</v>
      </c>
      <c r="E53" s="45">
        <f t="shared" si="0"/>
        <v>430476000</v>
      </c>
    </row>
    <row r="54" spans="1:5">
      <c r="A54" s="13">
        <v>48</v>
      </c>
      <c r="B54" s="14" t="s">
        <v>2243</v>
      </c>
      <c r="C54" s="26">
        <v>0</v>
      </c>
      <c r="D54" s="26">
        <v>380476000</v>
      </c>
      <c r="E54" s="45">
        <f t="shared" si="0"/>
        <v>380476000</v>
      </c>
    </row>
    <row r="55" spans="1:5">
      <c r="A55" s="13">
        <v>49</v>
      </c>
      <c r="B55" s="14" t="s">
        <v>2244</v>
      </c>
      <c r="C55" s="26">
        <v>0</v>
      </c>
      <c r="D55" s="26">
        <v>280476000</v>
      </c>
      <c r="E55" s="45">
        <f t="shared" si="0"/>
        <v>280476000</v>
      </c>
    </row>
    <row r="56" spans="1:5">
      <c r="A56" s="13">
        <v>50</v>
      </c>
      <c r="B56" s="14" t="s">
        <v>2245</v>
      </c>
      <c r="C56" s="26">
        <v>64000000</v>
      </c>
      <c r="D56" s="26">
        <v>557642000</v>
      </c>
      <c r="E56" s="45">
        <f t="shared" si="0"/>
        <v>621642000</v>
      </c>
    </row>
    <row r="57" spans="1:5">
      <c r="A57" s="13">
        <v>51</v>
      </c>
      <c r="B57" s="14" t="s">
        <v>2246</v>
      </c>
      <c r="C57" s="26">
        <v>0</v>
      </c>
      <c r="D57" s="26">
        <v>600000000</v>
      </c>
      <c r="E57" s="45">
        <f t="shared" si="0"/>
        <v>600000000</v>
      </c>
    </row>
    <row r="58" spans="1:5">
      <c r="A58" s="13">
        <v>52</v>
      </c>
      <c r="B58" s="14" t="s">
        <v>2247</v>
      </c>
      <c r="C58" s="26">
        <v>0</v>
      </c>
      <c r="D58" s="26">
        <v>528821000</v>
      </c>
      <c r="E58" s="45">
        <f t="shared" si="0"/>
        <v>528821000</v>
      </c>
    </row>
    <row r="59" spans="1:5" ht="15.75" thickBot="1">
      <c r="A59" s="1923">
        <v>53</v>
      </c>
      <c r="B59" s="1924" t="s">
        <v>2248</v>
      </c>
      <c r="C59" s="1903">
        <v>0</v>
      </c>
      <c r="D59" s="1903">
        <v>278821000</v>
      </c>
      <c r="E59" s="1925">
        <f t="shared" si="0"/>
        <v>278821000</v>
      </c>
    </row>
    <row r="60" spans="1:5">
      <c r="A60" s="1920">
        <v>54</v>
      </c>
      <c r="B60" s="1921" t="s">
        <v>2249</v>
      </c>
      <c r="C60" s="1900">
        <v>0</v>
      </c>
      <c r="D60" s="1900">
        <v>177843500</v>
      </c>
      <c r="E60" s="1922">
        <f t="shared" si="0"/>
        <v>177843500</v>
      </c>
    </row>
    <row r="61" spans="1:5">
      <c r="A61" s="13">
        <v>55</v>
      </c>
      <c r="B61" s="14" t="s">
        <v>2250</v>
      </c>
      <c r="C61" s="26">
        <v>0</v>
      </c>
      <c r="D61" s="26">
        <v>303498000</v>
      </c>
      <c r="E61" s="45">
        <f t="shared" si="0"/>
        <v>303498000</v>
      </c>
    </row>
    <row r="62" spans="1:5">
      <c r="A62" s="13">
        <v>56</v>
      </c>
      <c r="B62" s="14" t="s">
        <v>2251</v>
      </c>
      <c r="C62" s="26">
        <v>64000000</v>
      </c>
      <c r="D62" s="26">
        <v>541903572</v>
      </c>
      <c r="E62" s="45">
        <f t="shared" si="0"/>
        <v>605903572</v>
      </c>
    </row>
    <row r="63" spans="1:5">
      <c r="A63" s="13">
        <v>57</v>
      </c>
      <c r="B63" s="14" t="s">
        <v>2252</v>
      </c>
      <c r="C63" s="26">
        <v>64000000</v>
      </c>
      <c r="D63" s="26">
        <v>891975000</v>
      </c>
      <c r="E63" s="45">
        <f t="shared" si="0"/>
        <v>955975000</v>
      </c>
    </row>
    <row r="64" spans="1:5">
      <c r="A64" s="13">
        <v>58</v>
      </c>
      <c r="B64" s="14" t="s">
        <v>2253</v>
      </c>
      <c r="C64" s="26">
        <v>0</v>
      </c>
      <c r="D64" s="26">
        <v>303498000</v>
      </c>
      <c r="E64" s="45">
        <f t="shared" si="0"/>
        <v>303498000</v>
      </c>
    </row>
    <row r="65" spans="1:5">
      <c r="A65" s="13">
        <v>59</v>
      </c>
      <c r="B65" s="14" t="s">
        <v>2254</v>
      </c>
      <c r="C65" s="26">
        <v>64000000</v>
      </c>
      <c r="D65" s="26">
        <v>293147000</v>
      </c>
      <c r="E65" s="45">
        <f t="shared" si="0"/>
        <v>357147000</v>
      </c>
    </row>
    <row r="66" spans="1:5">
      <c r="A66" s="13">
        <v>60</v>
      </c>
      <c r="B66" s="14" t="s">
        <v>2255</v>
      </c>
      <c r="C66" s="26">
        <v>0</v>
      </c>
      <c r="D66" s="26">
        <v>250000000</v>
      </c>
      <c r="E66" s="45">
        <f t="shared" si="0"/>
        <v>250000000</v>
      </c>
    </row>
    <row r="67" spans="1:5">
      <c r="A67" s="13">
        <v>61</v>
      </c>
      <c r="B67" s="14" t="s">
        <v>2256</v>
      </c>
      <c r="C67" s="26">
        <v>0</v>
      </c>
      <c r="D67" s="26">
        <v>298791000</v>
      </c>
      <c r="E67" s="45">
        <f t="shared" si="0"/>
        <v>298791000</v>
      </c>
    </row>
    <row r="68" spans="1:5">
      <c r="A68" s="13">
        <v>62</v>
      </c>
      <c r="B68" s="14" t="s">
        <v>2257</v>
      </c>
      <c r="C68" s="26">
        <v>0</v>
      </c>
      <c r="D68" s="26">
        <v>1004582000</v>
      </c>
      <c r="E68" s="45">
        <f t="shared" si="0"/>
        <v>1004582000</v>
      </c>
    </row>
    <row r="69" spans="1:5">
      <c r="A69" s="13">
        <v>63</v>
      </c>
      <c r="B69" s="14" t="s">
        <v>2258</v>
      </c>
      <c r="C69" s="26">
        <v>0</v>
      </c>
      <c r="D69" s="26">
        <v>0</v>
      </c>
      <c r="E69" s="45">
        <f t="shared" si="0"/>
        <v>0</v>
      </c>
    </row>
    <row r="70" spans="1:5">
      <c r="A70" s="13">
        <v>64</v>
      </c>
      <c r="B70" s="14" t="s">
        <v>2259</v>
      </c>
      <c r="C70" s="26">
        <v>0</v>
      </c>
      <c r="D70" s="26">
        <v>392431000</v>
      </c>
      <c r="E70" s="45">
        <f t="shared" si="0"/>
        <v>392431000</v>
      </c>
    </row>
    <row r="71" spans="1:5">
      <c r="A71" s="13">
        <v>65</v>
      </c>
      <c r="B71" s="14" t="s">
        <v>2260</v>
      </c>
      <c r="C71" s="26">
        <v>0</v>
      </c>
      <c r="D71" s="26">
        <v>0</v>
      </c>
      <c r="E71" s="45">
        <f t="shared" si="0"/>
        <v>0</v>
      </c>
    </row>
    <row r="72" spans="1:5">
      <c r="A72" s="13">
        <v>66</v>
      </c>
      <c r="B72" s="14" t="s">
        <v>2261</v>
      </c>
      <c r="C72" s="26">
        <v>0</v>
      </c>
      <c r="D72" s="26">
        <v>584862000</v>
      </c>
      <c r="E72" s="45">
        <f t="shared" ref="E72:E93" si="1">C72+D72</f>
        <v>584862000</v>
      </c>
    </row>
    <row r="73" spans="1:5">
      <c r="A73" s="13">
        <v>67</v>
      </c>
      <c r="B73" s="14" t="s">
        <v>2262</v>
      </c>
      <c r="C73" s="26">
        <v>74950000</v>
      </c>
      <c r="D73" s="26">
        <v>250000000</v>
      </c>
      <c r="E73" s="45">
        <f t="shared" si="1"/>
        <v>324950000</v>
      </c>
    </row>
    <row r="74" spans="1:5">
      <c r="A74" s="13">
        <v>68</v>
      </c>
      <c r="B74" s="14" t="s">
        <v>2263</v>
      </c>
      <c r="C74" s="26">
        <v>0</v>
      </c>
      <c r="D74" s="26">
        <v>392431000</v>
      </c>
      <c r="E74" s="45">
        <f t="shared" si="1"/>
        <v>392431000</v>
      </c>
    </row>
    <row r="75" spans="1:5">
      <c r="A75" s="13">
        <v>69</v>
      </c>
      <c r="B75" s="14" t="s">
        <v>2264</v>
      </c>
      <c r="C75" s="26">
        <v>0</v>
      </c>
      <c r="D75" s="26">
        <v>0</v>
      </c>
      <c r="E75" s="45">
        <f t="shared" si="1"/>
        <v>0</v>
      </c>
    </row>
    <row r="76" spans="1:5">
      <c r="A76" s="13">
        <v>70</v>
      </c>
      <c r="B76" s="14" t="s">
        <v>2265</v>
      </c>
      <c r="C76" s="26">
        <v>0</v>
      </c>
      <c r="D76" s="26">
        <v>0</v>
      </c>
      <c r="E76" s="45">
        <f t="shared" si="1"/>
        <v>0</v>
      </c>
    </row>
    <row r="77" spans="1:5">
      <c r="A77" s="13">
        <v>71</v>
      </c>
      <c r="B77" s="14" t="s">
        <v>2266</v>
      </c>
      <c r="C77" s="26">
        <v>0</v>
      </c>
      <c r="D77" s="26">
        <v>100000000</v>
      </c>
      <c r="E77" s="45">
        <f t="shared" si="1"/>
        <v>100000000</v>
      </c>
    </row>
    <row r="78" spans="1:5">
      <c r="A78" s="13">
        <v>72</v>
      </c>
      <c r="B78" s="14" t="s">
        <v>2267</v>
      </c>
      <c r="C78" s="26">
        <v>0</v>
      </c>
      <c r="D78" s="26">
        <v>0</v>
      </c>
      <c r="E78" s="45">
        <f t="shared" si="1"/>
        <v>0</v>
      </c>
    </row>
    <row r="79" spans="1:5">
      <c r="A79" s="13">
        <v>73</v>
      </c>
      <c r="B79" s="14" t="s">
        <v>2268</v>
      </c>
      <c r="C79" s="26">
        <v>0</v>
      </c>
      <c r="D79" s="26">
        <v>0</v>
      </c>
      <c r="E79" s="45">
        <f t="shared" si="1"/>
        <v>0</v>
      </c>
    </row>
    <row r="80" spans="1:5">
      <c r="A80" s="13">
        <v>74</v>
      </c>
      <c r="B80" s="14" t="s">
        <v>2269</v>
      </c>
      <c r="C80" s="26">
        <v>0</v>
      </c>
      <c r="D80" s="26">
        <v>588936000</v>
      </c>
      <c r="E80" s="45">
        <f t="shared" si="1"/>
        <v>588936000</v>
      </c>
    </row>
    <row r="81" spans="1:5">
      <c r="A81" s="13">
        <v>75</v>
      </c>
      <c r="B81" s="14" t="s">
        <v>2270</v>
      </c>
      <c r="C81" s="26">
        <v>78038000</v>
      </c>
      <c r="D81" s="26">
        <v>150000000</v>
      </c>
      <c r="E81" s="45">
        <f t="shared" si="1"/>
        <v>228038000</v>
      </c>
    </row>
    <row r="82" spans="1:5">
      <c r="A82" s="13">
        <v>76</v>
      </c>
      <c r="B82" s="14" t="s">
        <v>2271</v>
      </c>
      <c r="C82" s="26">
        <v>0</v>
      </c>
      <c r="D82" s="26">
        <v>1073936000</v>
      </c>
      <c r="E82" s="45">
        <f t="shared" si="1"/>
        <v>1073936000</v>
      </c>
    </row>
    <row r="83" spans="1:5">
      <c r="A83" s="13">
        <v>77</v>
      </c>
      <c r="B83" s="14" t="s">
        <v>2272</v>
      </c>
      <c r="C83" s="26">
        <v>0</v>
      </c>
      <c r="D83" s="26">
        <v>702000000</v>
      </c>
      <c r="E83" s="45">
        <f t="shared" si="1"/>
        <v>702000000</v>
      </c>
    </row>
    <row r="84" spans="1:5">
      <c r="A84" s="13">
        <v>78</v>
      </c>
      <c r="B84" s="14" t="s">
        <v>2273</v>
      </c>
      <c r="C84" s="26">
        <v>0</v>
      </c>
      <c r="D84" s="26">
        <v>0</v>
      </c>
      <c r="E84" s="45">
        <f t="shared" si="1"/>
        <v>0</v>
      </c>
    </row>
    <row r="85" spans="1:5">
      <c r="A85" s="13">
        <v>79</v>
      </c>
      <c r="B85" s="14" t="s">
        <v>2274</v>
      </c>
      <c r="C85" s="26">
        <v>0</v>
      </c>
      <c r="D85" s="26">
        <v>271983700</v>
      </c>
      <c r="E85" s="45">
        <f t="shared" si="1"/>
        <v>271983700</v>
      </c>
    </row>
    <row r="86" spans="1:5">
      <c r="A86" s="13">
        <v>80</v>
      </c>
      <c r="B86" s="14" t="s">
        <v>2275</v>
      </c>
      <c r="C86" s="26">
        <v>0</v>
      </c>
      <c r="D86" s="26">
        <v>214843000</v>
      </c>
      <c r="E86" s="45">
        <f t="shared" si="1"/>
        <v>214843000</v>
      </c>
    </row>
    <row r="87" spans="1:5">
      <c r="A87" s="13">
        <v>81</v>
      </c>
      <c r="B87" s="14" t="s">
        <v>2276</v>
      </c>
      <c r="C87" s="26">
        <v>0</v>
      </c>
      <c r="D87" s="26">
        <v>141283600</v>
      </c>
      <c r="E87" s="45">
        <f t="shared" si="1"/>
        <v>141283600</v>
      </c>
    </row>
    <row r="88" spans="1:5">
      <c r="A88" s="13">
        <v>82</v>
      </c>
      <c r="B88" s="14" t="s">
        <v>2277</v>
      </c>
      <c r="C88" s="26">
        <v>0</v>
      </c>
      <c r="D88" s="26">
        <v>1063265100</v>
      </c>
      <c r="E88" s="45">
        <f t="shared" si="1"/>
        <v>1063265100</v>
      </c>
    </row>
    <row r="89" spans="1:5">
      <c r="A89" s="13">
        <v>83</v>
      </c>
      <c r="B89" s="14" t="s">
        <v>2278</v>
      </c>
      <c r="C89" s="26">
        <v>0</v>
      </c>
      <c r="D89" s="26">
        <v>229063300</v>
      </c>
      <c r="E89" s="45">
        <f t="shared" si="1"/>
        <v>229063300</v>
      </c>
    </row>
    <row r="90" spans="1:5">
      <c r="A90" s="13">
        <v>84</v>
      </c>
      <c r="B90" s="14" t="s">
        <v>2279</v>
      </c>
      <c r="C90" s="26">
        <v>255354</v>
      </c>
      <c r="D90" s="26">
        <v>537349000</v>
      </c>
      <c r="E90" s="45">
        <f t="shared" si="1"/>
        <v>537604354</v>
      </c>
    </row>
    <row r="91" spans="1:5">
      <c r="A91" s="13">
        <v>85</v>
      </c>
      <c r="B91" s="14" t="s">
        <v>2280</v>
      </c>
      <c r="C91" s="26">
        <v>0</v>
      </c>
      <c r="D91" s="26">
        <v>303326200</v>
      </c>
      <c r="E91" s="45">
        <f t="shared" si="1"/>
        <v>303326200</v>
      </c>
    </row>
    <row r="92" spans="1:5">
      <c r="A92" s="13">
        <v>86</v>
      </c>
      <c r="B92" s="14" t="s">
        <v>2281</v>
      </c>
      <c r="C92" s="26">
        <v>0</v>
      </c>
      <c r="D92" s="26">
        <v>0</v>
      </c>
      <c r="E92" s="45">
        <f t="shared" si="1"/>
        <v>0</v>
      </c>
    </row>
    <row r="93" spans="1:5">
      <c r="A93" s="13">
        <v>87</v>
      </c>
      <c r="B93" s="14" t="s">
        <v>2282</v>
      </c>
      <c r="C93" s="26">
        <v>0</v>
      </c>
      <c r="D93" s="26">
        <v>0</v>
      </c>
      <c r="E93" s="45">
        <f t="shared" si="1"/>
        <v>0</v>
      </c>
    </row>
    <row r="94" spans="1:5">
      <c r="A94" s="13"/>
      <c r="B94" s="14"/>
      <c r="C94" s="26"/>
      <c r="D94" s="26"/>
      <c r="E94" s="45"/>
    </row>
    <row r="95" spans="1:5">
      <c r="A95" s="2218" t="s">
        <v>9</v>
      </c>
      <c r="B95" s="2217"/>
      <c r="C95" s="28">
        <f>SUM(C7:C93)</f>
        <v>2385373354</v>
      </c>
      <c r="D95" s="28">
        <f t="shared" ref="D95:E95" si="2">SUM(D7:D93)</f>
        <v>23499476255</v>
      </c>
      <c r="E95" s="28">
        <f t="shared" si="2"/>
        <v>25884849609</v>
      </c>
    </row>
    <row r="96" spans="1:5">
      <c r="B96" s="22"/>
    </row>
    <row r="97" spans="2:5">
      <c r="B97" s="22"/>
      <c r="C97" s="46"/>
      <c r="D97" s="46"/>
      <c r="E97" s="48"/>
    </row>
    <row r="98" spans="2:5">
      <c r="B98" s="22"/>
      <c r="E98" s="49"/>
    </row>
    <row r="99" spans="2:5">
      <c r="B99" s="22"/>
      <c r="C99" s="46"/>
      <c r="D99" s="46"/>
    </row>
  </sheetData>
  <mergeCells count="5">
    <mergeCell ref="A1:E1"/>
    <mergeCell ref="A2:E2"/>
    <mergeCell ref="A3:E3"/>
    <mergeCell ref="C5:E5"/>
    <mergeCell ref="A95:B95"/>
  </mergeCells>
  <pageMargins left="1.1599999999999999" right="0.70866141732283472" top="0.74803149606299213" bottom="0.74803149606299213" header="0.31496062992125984" footer="0.31496062992125984"/>
  <pageSetup paperSize="9" scale="85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>
  <sheetPr>
    <tabColor rgb="FF00B0F0"/>
  </sheetPr>
  <dimension ref="A1:E99"/>
  <sheetViews>
    <sheetView workbookViewId="0">
      <selection activeCell="C11" sqref="C11"/>
    </sheetView>
  </sheetViews>
  <sheetFormatPr defaultColWidth="8.85546875" defaultRowHeight="15"/>
  <cols>
    <col min="1" max="1" width="7.7109375" style="4" customWidth="1"/>
    <col min="2" max="2" width="56.7109375" style="5" customWidth="1"/>
    <col min="3" max="3" width="27.7109375" style="6" customWidth="1"/>
    <col min="4" max="16384" width="8.85546875" style="5"/>
  </cols>
  <sheetData>
    <row r="1" spans="1:5">
      <c r="A1" s="1954" t="s">
        <v>0</v>
      </c>
      <c r="B1" s="1954"/>
      <c r="C1" s="1954"/>
      <c r="D1" s="20"/>
      <c r="E1" s="20"/>
    </row>
    <row r="2" spans="1:5">
      <c r="A2" s="1954" t="s">
        <v>2283</v>
      </c>
      <c r="B2" s="1954"/>
      <c r="C2" s="1954"/>
      <c r="D2" s="20"/>
      <c r="E2" s="20"/>
    </row>
    <row r="3" spans="1:5">
      <c r="A3" s="1954" t="s">
        <v>2</v>
      </c>
      <c r="B3" s="1954"/>
      <c r="C3" s="1954"/>
      <c r="D3" s="20"/>
      <c r="E3" s="20"/>
    </row>
    <row r="4" spans="1:5">
      <c r="C4" s="7" t="s">
        <v>2162</v>
      </c>
    </row>
    <row r="5" spans="1:5">
      <c r="A5" s="2219" t="s">
        <v>1546</v>
      </c>
      <c r="B5" s="2219" t="s">
        <v>2193</v>
      </c>
      <c r="C5" s="2221" t="s">
        <v>2284</v>
      </c>
    </row>
    <row r="6" spans="1:5">
      <c r="A6" s="2220"/>
      <c r="B6" s="2220"/>
      <c r="C6" s="2221"/>
    </row>
    <row r="7" spans="1:5">
      <c r="A7" s="13">
        <v>1</v>
      </c>
      <c r="B7" s="14" t="s">
        <v>2196</v>
      </c>
      <c r="C7" s="26">
        <v>312422000</v>
      </c>
    </row>
    <row r="8" spans="1:5">
      <c r="A8" s="13">
        <v>2</v>
      </c>
      <c r="B8" s="14" t="s">
        <v>2197</v>
      </c>
      <c r="C8" s="26">
        <v>70574000</v>
      </c>
    </row>
    <row r="9" spans="1:5">
      <c r="A9" s="13">
        <v>3</v>
      </c>
      <c r="B9" s="14" t="s">
        <v>2198</v>
      </c>
      <c r="C9" s="26">
        <v>236886000</v>
      </c>
    </row>
    <row r="10" spans="1:5">
      <c r="A10" s="13">
        <v>4</v>
      </c>
      <c r="B10" s="14" t="s">
        <v>2199</v>
      </c>
      <c r="C10" s="26">
        <v>561763500</v>
      </c>
    </row>
    <row r="11" spans="1:5">
      <c r="A11" s="13">
        <v>5</v>
      </c>
      <c r="B11" s="14" t="s">
        <v>2200</v>
      </c>
      <c r="C11" s="26">
        <v>445584450</v>
      </c>
    </row>
    <row r="12" spans="1:5">
      <c r="A12" s="13">
        <v>6</v>
      </c>
      <c r="B12" s="14" t="s">
        <v>2201</v>
      </c>
      <c r="C12" s="26">
        <v>192260000</v>
      </c>
    </row>
    <row r="13" spans="1:5">
      <c r="A13" s="13">
        <v>7</v>
      </c>
      <c r="B13" s="14" t="s">
        <v>2202</v>
      </c>
      <c r="C13" s="26">
        <v>100855000</v>
      </c>
    </row>
    <row r="14" spans="1:5">
      <c r="A14" s="13">
        <v>8</v>
      </c>
      <c r="B14" s="14" t="s">
        <v>2203</v>
      </c>
      <c r="C14" s="26">
        <v>203997000</v>
      </c>
    </row>
    <row r="15" spans="1:5">
      <c r="A15" s="13">
        <v>9</v>
      </c>
      <c r="B15" s="14" t="s">
        <v>2204</v>
      </c>
      <c r="C15" s="26">
        <v>372060000</v>
      </c>
    </row>
    <row r="16" spans="1:5">
      <c r="A16" s="13">
        <v>10</v>
      </c>
      <c r="B16" s="14" t="s">
        <v>2205</v>
      </c>
      <c r="C16" s="26">
        <v>98500000</v>
      </c>
    </row>
    <row r="17" spans="1:3">
      <c r="A17" s="13">
        <v>11</v>
      </c>
      <c r="B17" s="14" t="s">
        <v>2206</v>
      </c>
      <c r="C17" s="26">
        <v>165222500</v>
      </c>
    </row>
    <row r="18" spans="1:3">
      <c r="A18" s="13">
        <v>12</v>
      </c>
      <c r="B18" s="14" t="s">
        <v>2207</v>
      </c>
      <c r="C18" s="26">
        <v>169800000</v>
      </c>
    </row>
    <row r="19" spans="1:3">
      <c r="A19" s="13">
        <v>13</v>
      </c>
      <c r="B19" s="14" t="s">
        <v>2208</v>
      </c>
      <c r="C19" s="26">
        <v>235920000</v>
      </c>
    </row>
    <row r="20" spans="1:3">
      <c r="A20" s="13">
        <v>14</v>
      </c>
      <c r="B20" s="14" t="s">
        <v>2209</v>
      </c>
      <c r="C20" s="26">
        <v>151800000</v>
      </c>
    </row>
    <row r="21" spans="1:3">
      <c r="A21" s="13">
        <v>15</v>
      </c>
      <c r="B21" s="14" t="s">
        <v>2210</v>
      </c>
      <c r="C21" s="26">
        <v>309600000</v>
      </c>
    </row>
    <row r="22" spans="1:3">
      <c r="A22" s="13">
        <v>16</v>
      </c>
      <c r="B22" s="14" t="s">
        <v>2211</v>
      </c>
      <c r="C22" s="26">
        <v>283813800</v>
      </c>
    </row>
    <row r="23" spans="1:3">
      <c r="A23" s="13">
        <v>17</v>
      </c>
      <c r="B23" s="14" t="s">
        <v>2212</v>
      </c>
      <c r="C23" s="26">
        <v>108420000</v>
      </c>
    </row>
    <row r="24" spans="1:3">
      <c r="A24" s="13">
        <v>18</v>
      </c>
      <c r="B24" s="14" t="s">
        <v>2213</v>
      </c>
      <c r="C24" s="26">
        <v>196381000</v>
      </c>
    </row>
    <row r="25" spans="1:3">
      <c r="A25" s="13">
        <v>19</v>
      </c>
      <c r="B25" s="14" t="s">
        <v>2214</v>
      </c>
      <c r="C25" s="26">
        <v>152250000</v>
      </c>
    </row>
    <row r="26" spans="1:3">
      <c r="A26" s="13">
        <v>20</v>
      </c>
      <c r="B26" s="14" t="s">
        <v>2215</v>
      </c>
      <c r="C26" s="26">
        <v>153550000</v>
      </c>
    </row>
    <row r="27" spans="1:3">
      <c r="A27" s="13">
        <v>21</v>
      </c>
      <c r="B27" s="14" t="s">
        <v>2216</v>
      </c>
      <c r="C27" s="26">
        <v>269843000</v>
      </c>
    </row>
    <row r="28" spans="1:3">
      <c r="A28" s="13">
        <v>22</v>
      </c>
      <c r="B28" s="14" t="s">
        <v>2217</v>
      </c>
      <c r="C28" s="26">
        <v>182650000</v>
      </c>
    </row>
    <row r="29" spans="1:3">
      <c r="A29" s="13">
        <v>23</v>
      </c>
      <c r="B29" s="14" t="s">
        <v>2218</v>
      </c>
      <c r="C29" s="26">
        <v>301600000</v>
      </c>
    </row>
    <row r="30" spans="1:3">
      <c r="A30" s="13">
        <v>24</v>
      </c>
      <c r="B30" s="14" t="s">
        <v>2219</v>
      </c>
      <c r="C30" s="26">
        <v>131650000</v>
      </c>
    </row>
    <row r="31" spans="1:3">
      <c r="A31" s="13">
        <v>25</v>
      </c>
      <c r="B31" s="14" t="s">
        <v>2220</v>
      </c>
      <c r="C31" s="26">
        <v>173210000</v>
      </c>
    </row>
    <row r="32" spans="1:3">
      <c r="A32" s="13">
        <v>26</v>
      </c>
      <c r="B32" s="14" t="s">
        <v>2221</v>
      </c>
      <c r="C32" s="26">
        <v>152350000</v>
      </c>
    </row>
    <row r="33" spans="1:3">
      <c r="A33" s="13">
        <v>27</v>
      </c>
      <c r="B33" s="14" t="s">
        <v>2222</v>
      </c>
      <c r="C33" s="26">
        <v>98861000</v>
      </c>
    </row>
    <row r="34" spans="1:3">
      <c r="A34" s="13">
        <v>28</v>
      </c>
      <c r="B34" s="14" t="s">
        <v>2223</v>
      </c>
      <c r="C34" s="26">
        <v>140760000</v>
      </c>
    </row>
    <row r="35" spans="1:3">
      <c r="A35" s="13">
        <v>29</v>
      </c>
      <c r="B35" s="14" t="s">
        <v>2224</v>
      </c>
      <c r="C35" s="26">
        <v>0</v>
      </c>
    </row>
    <row r="36" spans="1:3">
      <c r="A36" s="13">
        <v>30</v>
      </c>
      <c r="B36" s="14" t="s">
        <v>2225</v>
      </c>
      <c r="C36" s="26">
        <v>0</v>
      </c>
    </row>
    <row r="37" spans="1:3">
      <c r="A37" s="13">
        <v>31</v>
      </c>
      <c r="B37" s="14" t="s">
        <v>2226</v>
      </c>
      <c r="C37" s="26">
        <v>71400000</v>
      </c>
    </row>
    <row r="38" spans="1:3">
      <c r="A38" s="13">
        <v>32</v>
      </c>
      <c r="B38" s="14" t="s">
        <v>2227</v>
      </c>
      <c r="C38" s="26">
        <v>0</v>
      </c>
    </row>
    <row r="39" spans="1:3">
      <c r="A39" s="13">
        <v>33</v>
      </c>
      <c r="B39" s="14" t="s">
        <v>2228</v>
      </c>
      <c r="C39" s="26">
        <v>103680000</v>
      </c>
    </row>
    <row r="40" spans="1:3">
      <c r="A40" s="13">
        <v>34</v>
      </c>
      <c r="B40" s="14" t="s">
        <v>2229</v>
      </c>
      <c r="C40" s="26">
        <v>313205600</v>
      </c>
    </row>
    <row r="41" spans="1:3">
      <c r="A41" s="13">
        <v>35</v>
      </c>
      <c r="B41" s="14" t="s">
        <v>2230</v>
      </c>
      <c r="C41" s="26">
        <v>0</v>
      </c>
    </row>
    <row r="42" spans="1:3">
      <c r="A42" s="13">
        <v>36</v>
      </c>
      <c r="B42" s="14" t="s">
        <v>2231</v>
      </c>
      <c r="C42" s="26">
        <v>250450000</v>
      </c>
    </row>
    <row r="43" spans="1:3">
      <c r="A43" s="13">
        <v>37</v>
      </c>
      <c r="B43" s="14" t="s">
        <v>2232</v>
      </c>
      <c r="C43" s="26">
        <v>313630000</v>
      </c>
    </row>
    <row r="44" spans="1:3">
      <c r="A44" s="13">
        <v>38</v>
      </c>
      <c r="B44" s="14" t="s">
        <v>2233</v>
      </c>
      <c r="C44" s="26">
        <v>206333000</v>
      </c>
    </row>
    <row r="45" spans="1:3">
      <c r="A45" s="13">
        <v>39</v>
      </c>
      <c r="B45" s="14" t="s">
        <v>2234</v>
      </c>
      <c r="C45" s="26">
        <v>127700000</v>
      </c>
    </row>
    <row r="46" spans="1:3">
      <c r="A46" s="13">
        <v>40</v>
      </c>
      <c r="B46" s="14" t="s">
        <v>2235</v>
      </c>
      <c r="C46" s="26">
        <v>141100000</v>
      </c>
    </row>
    <row r="47" spans="1:3">
      <c r="A47" s="13">
        <v>41</v>
      </c>
      <c r="B47" s="14" t="s">
        <v>2236</v>
      </c>
      <c r="C47" s="26">
        <v>479031000</v>
      </c>
    </row>
    <row r="48" spans="1:3">
      <c r="A48" s="13">
        <v>42</v>
      </c>
      <c r="B48" s="14" t="s">
        <v>2237</v>
      </c>
      <c r="C48" s="26">
        <v>329470000</v>
      </c>
    </row>
    <row r="49" spans="1:3">
      <c r="A49" s="13">
        <v>43</v>
      </c>
      <c r="B49" s="14" t="s">
        <v>2238</v>
      </c>
      <c r="C49" s="26">
        <v>327120000</v>
      </c>
    </row>
    <row r="50" spans="1:3">
      <c r="A50" s="13">
        <v>44</v>
      </c>
      <c r="B50" s="14" t="s">
        <v>2239</v>
      </c>
      <c r="C50" s="26">
        <v>450340000</v>
      </c>
    </row>
    <row r="51" spans="1:3">
      <c r="A51" s="13">
        <v>45</v>
      </c>
      <c r="B51" s="14" t="s">
        <v>2240</v>
      </c>
      <c r="C51" s="26">
        <v>57042000</v>
      </c>
    </row>
    <row r="52" spans="1:3">
      <c r="A52" s="13">
        <v>46</v>
      </c>
      <c r="B52" s="14" t="s">
        <v>2241</v>
      </c>
      <c r="C52" s="26">
        <v>153060000</v>
      </c>
    </row>
    <row r="53" spans="1:3">
      <c r="A53" s="13">
        <v>47</v>
      </c>
      <c r="B53" s="14" t="s">
        <v>2242</v>
      </c>
      <c r="C53" s="26">
        <v>599580000</v>
      </c>
    </row>
    <row r="54" spans="1:3">
      <c r="A54" s="13">
        <v>48</v>
      </c>
      <c r="B54" s="14" t="s">
        <v>2243</v>
      </c>
      <c r="C54" s="26">
        <v>101460000</v>
      </c>
    </row>
    <row r="55" spans="1:3">
      <c r="A55" s="13">
        <v>49</v>
      </c>
      <c r="B55" s="14" t="s">
        <v>2244</v>
      </c>
      <c r="C55" s="26">
        <v>157782000</v>
      </c>
    </row>
    <row r="56" spans="1:3">
      <c r="A56" s="13">
        <v>50</v>
      </c>
      <c r="B56" s="14" t="s">
        <v>2245</v>
      </c>
      <c r="C56" s="26">
        <v>190540000</v>
      </c>
    </row>
    <row r="57" spans="1:3">
      <c r="A57" s="13">
        <v>51</v>
      </c>
      <c r="B57" s="14" t="s">
        <v>2246</v>
      </c>
      <c r="C57" s="26">
        <v>261300000</v>
      </c>
    </row>
    <row r="58" spans="1:3">
      <c r="A58" s="13">
        <v>52</v>
      </c>
      <c r="B58" s="14" t="s">
        <v>2247</v>
      </c>
      <c r="C58" s="26">
        <v>324754000</v>
      </c>
    </row>
    <row r="59" spans="1:3">
      <c r="A59" s="13">
        <v>53</v>
      </c>
      <c r="B59" s="14" t="s">
        <v>2248</v>
      </c>
      <c r="C59" s="26">
        <v>279125000</v>
      </c>
    </row>
    <row r="60" spans="1:3">
      <c r="A60" s="13">
        <v>54</v>
      </c>
      <c r="B60" s="14" t="s">
        <v>2249</v>
      </c>
      <c r="C60" s="26">
        <v>84250000</v>
      </c>
    </row>
    <row r="61" spans="1:3">
      <c r="A61" s="13">
        <v>55</v>
      </c>
      <c r="B61" s="14" t="s">
        <v>2250</v>
      </c>
      <c r="C61" s="26">
        <v>222848000</v>
      </c>
    </row>
    <row r="62" spans="1:3">
      <c r="A62" s="13">
        <v>56</v>
      </c>
      <c r="B62" s="14" t="s">
        <v>2251</v>
      </c>
      <c r="C62" s="26">
        <v>404900000</v>
      </c>
    </row>
    <row r="63" spans="1:3">
      <c r="A63" s="13">
        <v>57</v>
      </c>
      <c r="B63" s="14" t="s">
        <v>2252</v>
      </c>
      <c r="C63" s="26">
        <v>424765000</v>
      </c>
    </row>
    <row r="64" spans="1:3">
      <c r="A64" s="13">
        <v>58</v>
      </c>
      <c r="B64" s="14" t="s">
        <v>2253</v>
      </c>
      <c r="C64" s="26">
        <v>123115000</v>
      </c>
    </row>
    <row r="65" spans="1:3">
      <c r="A65" s="13">
        <v>59</v>
      </c>
      <c r="B65" s="14" t="s">
        <v>2254</v>
      </c>
      <c r="C65" s="26">
        <v>395400000</v>
      </c>
    </row>
    <row r="66" spans="1:3">
      <c r="A66" s="13">
        <v>60</v>
      </c>
      <c r="B66" s="14" t="s">
        <v>2255</v>
      </c>
      <c r="C66" s="26">
        <v>221029000</v>
      </c>
    </row>
    <row r="67" spans="1:3">
      <c r="A67" s="13">
        <v>61</v>
      </c>
      <c r="B67" s="14" t="s">
        <v>2256</v>
      </c>
      <c r="C67" s="26">
        <v>61060000</v>
      </c>
    </row>
    <row r="68" spans="1:3">
      <c r="A68" s="13">
        <v>62</v>
      </c>
      <c r="B68" s="14" t="s">
        <v>2257</v>
      </c>
      <c r="C68" s="26">
        <v>412690000</v>
      </c>
    </row>
    <row r="69" spans="1:3">
      <c r="A69" s="13">
        <v>63</v>
      </c>
      <c r="B69" s="14" t="s">
        <v>2258</v>
      </c>
      <c r="C69" s="26">
        <v>199380000</v>
      </c>
    </row>
    <row r="70" spans="1:3">
      <c r="A70" s="13">
        <v>64</v>
      </c>
      <c r="B70" s="14" t="s">
        <v>2259</v>
      </c>
      <c r="C70" s="26">
        <v>106250000</v>
      </c>
    </row>
    <row r="71" spans="1:3">
      <c r="A71" s="13">
        <v>65</v>
      </c>
      <c r="B71" s="14" t="s">
        <v>2260</v>
      </c>
      <c r="C71" s="26">
        <v>15883000</v>
      </c>
    </row>
    <row r="72" spans="1:3">
      <c r="A72" s="13">
        <v>66</v>
      </c>
      <c r="B72" s="14" t="s">
        <v>2261</v>
      </c>
      <c r="C72" s="26">
        <v>179245000</v>
      </c>
    </row>
    <row r="73" spans="1:3">
      <c r="A73" s="13">
        <v>67</v>
      </c>
      <c r="B73" s="14" t="s">
        <v>2262</v>
      </c>
      <c r="C73" s="26">
        <v>46620000</v>
      </c>
    </row>
    <row r="74" spans="1:3">
      <c r="A74" s="13">
        <v>68</v>
      </c>
      <c r="B74" s="14" t="s">
        <v>2263</v>
      </c>
      <c r="C74" s="26">
        <v>31100000</v>
      </c>
    </row>
    <row r="75" spans="1:3">
      <c r="A75" s="13">
        <v>69</v>
      </c>
      <c r="B75" s="14" t="s">
        <v>2264</v>
      </c>
      <c r="C75" s="26">
        <v>0</v>
      </c>
    </row>
    <row r="76" spans="1:3">
      <c r="A76" s="13">
        <v>70</v>
      </c>
      <c r="B76" s="14" t="s">
        <v>2265</v>
      </c>
      <c r="C76" s="26">
        <v>53180000</v>
      </c>
    </row>
    <row r="77" spans="1:3">
      <c r="A77" s="13">
        <v>71</v>
      </c>
      <c r="B77" s="14" t="s">
        <v>2266</v>
      </c>
      <c r="C77" s="26">
        <v>345236500</v>
      </c>
    </row>
    <row r="78" spans="1:3">
      <c r="A78" s="13">
        <v>72</v>
      </c>
      <c r="B78" s="14" t="s">
        <v>2267</v>
      </c>
      <c r="C78" s="26">
        <v>255010822</v>
      </c>
    </row>
    <row r="79" spans="1:3">
      <c r="A79" s="13">
        <v>73</v>
      </c>
      <c r="B79" s="14" t="s">
        <v>2268</v>
      </c>
      <c r="C79" s="26">
        <v>87900000</v>
      </c>
    </row>
    <row r="80" spans="1:3">
      <c r="A80" s="13">
        <v>74</v>
      </c>
      <c r="B80" s="14" t="s">
        <v>2269</v>
      </c>
      <c r="C80" s="26">
        <v>264994000</v>
      </c>
    </row>
    <row r="81" spans="1:3">
      <c r="A81" s="13">
        <v>75</v>
      </c>
      <c r="B81" s="14" t="s">
        <v>2270</v>
      </c>
      <c r="C81" s="26">
        <v>365250000</v>
      </c>
    </row>
    <row r="82" spans="1:3">
      <c r="A82" s="13">
        <v>76</v>
      </c>
      <c r="B82" s="14" t="s">
        <v>2271</v>
      </c>
      <c r="C82" s="26">
        <v>810503400</v>
      </c>
    </row>
    <row r="83" spans="1:3">
      <c r="A83" s="13">
        <v>77</v>
      </c>
      <c r="B83" s="14" t="s">
        <v>2272</v>
      </c>
      <c r="C83" s="26">
        <v>274140000</v>
      </c>
    </row>
    <row r="84" spans="1:3">
      <c r="A84" s="13">
        <v>78</v>
      </c>
      <c r="B84" s="14" t="s">
        <v>2273</v>
      </c>
      <c r="C84" s="26">
        <v>186310000</v>
      </c>
    </row>
    <row r="85" spans="1:3">
      <c r="A85" s="13">
        <v>79</v>
      </c>
      <c r="B85" s="14" t="s">
        <v>2274</v>
      </c>
      <c r="C85" s="26">
        <v>0</v>
      </c>
    </row>
    <row r="86" spans="1:3">
      <c r="A86" s="13">
        <v>80</v>
      </c>
      <c r="B86" s="14" t="s">
        <v>2275</v>
      </c>
      <c r="C86" s="26">
        <v>48720000</v>
      </c>
    </row>
    <row r="87" spans="1:3">
      <c r="A87" s="13">
        <v>81</v>
      </c>
      <c r="B87" s="14" t="s">
        <v>2276</v>
      </c>
      <c r="C87" s="26">
        <v>0</v>
      </c>
    </row>
    <row r="88" spans="1:3">
      <c r="A88" s="13">
        <v>82</v>
      </c>
      <c r="B88" s="14" t="s">
        <v>2277</v>
      </c>
      <c r="C88" s="26">
        <v>0</v>
      </c>
    </row>
    <row r="89" spans="1:3">
      <c r="A89" s="13">
        <v>83</v>
      </c>
      <c r="B89" s="14" t="s">
        <v>2278</v>
      </c>
      <c r="C89" s="26">
        <v>0</v>
      </c>
    </row>
    <row r="90" spans="1:3">
      <c r="A90" s="13">
        <v>84</v>
      </c>
      <c r="B90" s="14" t="s">
        <v>2279</v>
      </c>
      <c r="C90" s="26">
        <v>0</v>
      </c>
    </row>
    <row r="91" spans="1:3">
      <c r="A91" s="13">
        <v>85</v>
      </c>
      <c r="B91" s="14" t="s">
        <v>2280</v>
      </c>
      <c r="C91" s="26">
        <v>0</v>
      </c>
    </row>
    <row r="92" spans="1:3">
      <c r="A92" s="13">
        <v>86</v>
      </c>
      <c r="B92" s="14" t="s">
        <v>2281</v>
      </c>
      <c r="C92" s="26">
        <v>17400000</v>
      </c>
    </row>
    <row r="93" spans="1:3">
      <c r="A93" s="13">
        <v>87</v>
      </c>
      <c r="B93" s="14" t="s">
        <v>2282</v>
      </c>
      <c r="C93" s="45">
        <v>0</v>
      </c>
    </row>
    <row r="94" spans="1:3">
      <c r="A94" s="13"/>
      <c r="B94" s="14"/>
      <c r="C94" s="26"/>
    </row>
    <row r="95" spans="1:3">
      <c r="A95" s="2218" t="s">
        <v>9</v>
      </c>
      <c r="B95" s="2217"/>
      <c r="C95" s="28">
        <f t="shared" ref="C95" si="0">SUM(C7:C93)</f>
        <v>16847865572</v>
      </c>
    </row>
    <row r="96" spans="1:3">
      <c r="B96" s="22"/>
    </row>
    <row r="97" spans="2:3">
      <c r="B97" s="22"/>
      <c r="C97" s="46"/>
    </row>
    <row r="98" spans="2:3">
      <c r="B98" s="22"/>
    </row>
    <row r="99" spans="2:3">
      <c r="B99" s="22"/>
      <c r="C99" s="46"/>
    </row>
  </sheetData>
  <mergeCells count="7">
    <mergeCell ref="A1:C1"/>
    <mergeCell ref="A2:C2"/>
    <mergeCell ref="A3:C3"/>
    <mergeCell ref="A95:B95"/>
    <mergeCell ref="A5:A6"/>
    <mergeCell ref="B5:B6"/>
    <mergeCell ref="C5:C6"/>
  </mergeCells>
  <pageMargins left="1.43" right="0.70866141732283472" top="0.74803149606299213" bottom="0.74803149606299213" header="0.31496062992125984" footer="0.31496062992125984"/>
  <pageSetup paperSize="9" scale="85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>
  <sheetPr>
    <tabColor rgb="FF00B0F0"/>
  </sheetPr>
  <dimension ref="A1:C94"/>
  <sheetViews>
    <sheetView workbookViewId="0">
      <selection activeCell="C4" sqref="C4"/>
    </sheetView>
  </sheetViews>
  <sheetFormatPr defaultColWidth="8.85546875" defaultRowHeight="15"/>
  <cols>
    <col min="1" max="1" width="7.7109375" style="4" customWidth="1"/>
    <col min="2" max="2" width="46.42578125" style="5" customWidth="1"/>
    <col min="3" max="3" width="28.42578125" style="6" customWidth="1"/>
    <col min="4" max="16384" width="8.85546875" style="5"/>
  </cols>
  <sheetData>
    <row r="1" spans="1:3">
      <c r="A1" s="1954" t="s">
        <v>0</v>
      </c>
      <c r="B1" s="1954"/>
      <c r="C1" s="1954"/>
    </row>
    <row r="2" spans="1:3">
      <c r="A2" s="1954" t="s">
        <v>2285</v>
      </c>
      <c r="B2" s="1954"/>
      <c r="C2" s="1954"/>
    </row>
    <row r="3" spans="1:3">
      <c r="A3" s="1954" t="s">
        <v>2</v>
      </c>
      <c r="B3" s="1954"/>
      <c r="C3" s="1954"/>
    </row>
    <row r="4" spans="1:3">
      <c r="C4" s="7" t="s">
        <v>2162</v>
      </c>
    </row>
    <row r="5" spans="1:3" s="21" customFormat="1">
      <c r="A5" s="42" t="s">
        <v>1546</v>
      </c>
      <c r="B5" s="42" t="s">
        <v>2193</v>
      </c>
      <c r="C5" s="43" t="s">
        <v>2286</v>
      </c>
    </row>
    <row r="6" spans="1:3">
      <c r="A6" s="25">
        <v>1</v>
      </c>
      <c r="B6" s="11" t="s">
        <v>2287</v>
      </c>
      <c r="C6" s="26">
        <v>1213800000</v>
      </c>
    </row>
    <row r="7" spans="1:3">
      <c r="A7" s="25">
        <v>2</v>
      </c>
      <c r="B7" s="11" t="s">
        <v>2288</v>
      </c>
      <c r="C7" s="26">
        <v>1073800000</v>
      </c>
    </row>
    <row r="8" spans="1:3">
      <c r="A8" s="25">
        <v>3</v>
      </c>
      <c r="B8" s="11" t="s">
        <v>2289</v>
      </c>
      <c r="C8" s="26">
        <v>1180200000</v>
      </c>
    </row>
    <row r="9" spans="1:3">
      <c r="A9" s="25">
        <v>4</v>
      </c>
      <c r="B9" s="11" t="s">
        <v>2290</v>
      </c>
      <c r="C9" s="26">
        <v>882000000</v>
      </c>
    </row>
    <row r="10" spans="1:3">
      <c r="A10" s="25">
        <v>5</v>
      </c>
      <c r="B10" s="11" t="s">
        <v>2291</v>
      </c>
      <c r="C10" s="26">
        <v>1190000000</v>
      </c>
    </row>
    <row r="11" spans="1:3">
      <c r="A11" s="25">
        <v>6</v>
      </c>
      <c r="B11" s="11" t="s">
        <v>2292</v>
      </c>
      <c r="C11" s="26">
        <v>2179800000</v>
      </c>
    </row>
    <row r="12" spans="1:3">
      <c r="A12" s="25">
        <v>7</v>
      </c>
      <c r="B12" s="11" t="s">
        <v>2293</v>
      </c>
      <c r="C12" s="26">
        <v>987000000</v>
      </c>
    </row>
    <row r="13" spans="1:3">
      <c r="A13" s="25">
        <v>8</v>
      </c>
      <c r="B13" s="11" t="s">
        <v>2294</v>
      </c>
      <c r="C13" s="26">
        <v>767200000</v>
      </c>
    </row>
    <row r="14" spans="1:3">
      <c r="A14" s="25">
        <v>9</v>
      </c>
      <c r="B14" s="11" t="s">
        <v>2273</v>
      </c>
      <c r="C14" s="26">
        <v>468160000</v>
      </c>
    </row>
    <row r="15" spans="1:3">
      <c r="A15" s="25">
        <v>10</v>
      </c>
      <c r="B15" s="11" t="s">
        <v>2295</v>
      </c>
      <c r="C15" s="26">
        <v>319200000</v>
      </c>
    </row>
    <row r="16" spans="1:3">
      <c r="A16" s="25">
        <v>11</v>
      </c>
      <c r="B16" s="11" t="s">
        <v>2296</v>
      </c>
      <c r="C16" s="26">
        <v>729400000</v>
      </c>
    </row>
    <row r="17" spans="1:3">
      <c r="A17" s="25">
        <v>12</v>
      </c>
      <c r="B17" s="11" t="s">
        <v>2297</v>
      </c>
      <c r="C17" s="26">
        <v>295400000</v>
      </c>
    </row>
    <row r="18" spans="1:3">
      <c r="A18" s="25">
        <v>13</v>
      </c>
      <c r="B18" s="11" t="s">
        <v>2298</v>
      </c>
      <c r="C18" s="26">
        <v>656040000</v>
      </c>
    </row>
    <row r="19" spans="1:3">
      <c r="A19" s="25">
        <v>14</v>
      </c>
      <c r="B19" s="11" t="s">
        <v>2299</v>
      </c>
      <c r="C19" s="26">
        <v>134400000</v>
      </c>
    </row>
    <row r="20" spans="1:3">
      <c r="A20" s="25">
        <v>15</v>
      </c>
      <c r="B20" s="11" t="s">
        <v>2300</v>
      </c>
      <c r="C20" s="26">
        <v>704200000</v>
      </c>
    </row>
    <row r="21" spans="1:3">
      <c r="A21" s="25">
        <v>16</v>
      </c>
      <c r="B21" s="11" t="s">
        <v>2301</v>
      </c>
      <c r="C21" s="26">
        <v>581000000</v>
      </c>
    </row>
    <row r="22" spans="1:3">
      <c r="A22" s="25">
        <v>17</v>
      </c>
      <c r="B22" s="11" t="s">
        <v>2302</v>
      </c>
      <c r="C22" s="26">
        <v>1118600000</v>
      </c>
    </row>
    <row r="23" spans="1:3">
      <c r="A23" s="25">
        <v>18</v>
      </c>
      <c r="B23" s="11" t="s">
        <v>2303</v>
      </c>
      <c r="C23" s="26">
        <v>450800000</v>
      </c>
    </row>
    <row r="24" spans="1:3">
      <c r="A24" s="25">
        <v>19</v>
      </c>
      <c r="B24" s="11" t="s">
        <v>2304</v>
      </c>
      <c r="C24" s="26">
        <v>1250200000</v>
      </c>
    </row>
    <row r="25" spans="1:3">
      <c r="A25" s="25">
        <v>20</v>
      </c>
      <c r="B25" s="11" t="s">
        <v>2305</v>
      </c>
      <c r="C25" s="26">
        <v>485800000</v>
      </c>
    </row>
    <row r="26" spans="1:3">
      <c r="A26" s="25">
        <v>21</v>
      </c>
      <c r="B26" s="11" t="s">
        <v>2306</v>
      </c>
      <c r="C26" s="26">
        <v>532000000</v>
      </c>
    </row>
    <row r="27" spans="1:3">
      <c r="A27" s="25">
        <v>22</v>
      </c>
      <c r="B27" s="11" t="s">
        <v>2307</v>
      </c>
      <c r="C27" s="26">
        <v>359800000</v>
      </c>
    </row>
    <row r="28" spans="1:3">
      <c r="A28" s="25">
        <v>23</v>
      </c>
      <c r="B28" s="11" t="s">
        <v>2308</v>
      </c>
      <c r="C28" s="26">
        <v>1450400000</v>
      </c>
    </row>
    <row r="29" spans="1:3">
      <c r="A29" s="25">
        <v>24</v>
      </c>
      <c r="B29" s="11" t="s">
        <v>2241</v>
      </c>
      <c r="C29" s="26">
        <v>872200000</v>
      </c>
    </row>
    <row r="30" spans="1:3">
      <c r="A30" s="25">
        <v>25</v>
      </c>
      <c r="B30" s="11" t="s">
        <v>2309</v>
      </c>
      <c r="C30" s="26">
        <v>873600000</v>
      </c>
    </row>
    <row r="31" spans="1:3">
      <c r="A31" s="25">
        <v>26</v>
      </c>
      <c r="B31" s="11" t="s">
        <v>2310</v>
      </c>
      <c r="C31" s="26">
        <v>869960000</v>
      </c>
    </row>
    <row r="32" spans="1:3">
      <c r="A32" s="25">
        <v>27</v>
      </c>
      <c r="B32" s="11" t="s">
        <v>2311</v>
      </c>
      <c r="C32" s="26">
        <v>903000000</v>
      </c>
    </row>
    <row r="33" spans="1:3">
      <c r="A33" s="25">
        <v>28</v>
      </c>
      <c r="B33" s="11" t="s">
        <v>2312</v>
      </c>
      <c r="C33" s="26">
        <v>567000000</v>
      </c>
    </row>
    <row r="34" spans="1:3">
      <c r="A34" s="25">
        <v>29</v>
      </c>
      <c r="B34" s="11" t="s">
        <v>2313</v>
      </c>
      <c r="C34" s="26">
        <v>849240000</v>
      </c>
    </row>
    <row r="35" spans="1:3">
      <c r="A35" s="25">
        <v>30</v>
      </c>
      <c r="B35" s="11" t="s">
        <v>2314</v>
      </c>
      <c r="C35" s="26">
        <v>508200000</v>
      </c>
    </row>
    <row r="36" spans="1:3">
      <c r="A36" s="25">
        <v>31</v>
      </c>
      <c r="B36" s="11" t="s">
        <v>2315</v>
      </c>
      <c r="C36" s="26">
        <v>0</v>
      </c>
    </row>
    <row r="37" spans="1:3">
      <c r="A37" s="25">
        <v>32</v>
      </c>
      <c r="B37" s="11" t="s">
        <v>2316</v>
      </c>
      <c r="C37" s="26">
        <v>770000000</v>
      </c>
    </row>
    <row r="38" spans="1:3">
      <c r="A38" s="25">
        <v>33</v>
      </c>
      <c r="B38" s="11" t="s">
        <v>2317</v>
      </c>
      <c r="C38" s="26">
        <v>1002400000</v>
      </c>
    </row>
    <row r="39" spans="1:3">
      <c r="A39" s="25">
        <v>34</v>
      </c>
      <c r="B39" s="11" t="s">
        <v>2318</v>
      </c>
      <c r="C39" s="26">
        <v>960400000</v>
      </c>
    </row>
    <row r="40" spans="1:3">
      <c r="A40" s="25">
        <v>35</v>
      </c>
      <c r="B40" s="11" t="s">
        <v>2319</v>
      </c>
      <c r="C40" s="26">
        <v>375200000</v>
      </c>
    </row>
    <row r="41" spans="1:3">
      <c r="A41" s="25">
        <v>36</v>
      </c>
      <c r="B41" s="11" t="s">
        <v>2320</v>
      </c>
      <c r="C41" s="26">
        <v>919800000</v>
      </c>
    </row>
    <row r="42" spans="1:3">
      <c r="A42" s="25">
        <v>37</v>
      </c>
      <c r="B42" s="11" t="s">
        <v>2321</v>
      </c>
      <c r="C42" s="26">
        <v>588000000</v>
      </c>
    </row>
    <row r="43" spans="1:3">
      <c r="A43" s="25">
        <v>38</v>
      </c>
      <c r="B43" s="11" t="s">
        <v>2322</v>
      </c>
      <c r="C43" s="26">
        <v>569800000</v>
      </c>
    </row>
    <row r="44" spans="1:3">
      <c r="A44" s="25">
        <v>39</v>
      </c>
      <c r="B44" s="11" t="s">
        <v>2323</v>
      </c>
      <c r="C44" s="26">
        <v>645400000</v>
      </c>
    </row>
    <row r="45" spans="1:3">
      <c r="A45" s="25">
        <v>40</v>
      </c>
      <c r="B45" s="11" t="s">
        <v>2324</v>
      </c>
      <c r="C45" s="26">
        <v>330400000</v>
      </c>
    </row>
    <row r="46" spans="1:3">
      <c r="A46" s="25">
        <v>41</v>
      </c>
      <c r="B46" s="11" t="s">
        <v>2325</v>
      </c>
      <c r="C46" s="44">
        <v>767200000</v>
      </c>
    </row>
    <row r="47" spans="1:3">
      <c r="A47" s="25">
        <v>42</v>
      </c>
      <c r="B47" s="11" t="s">
        <v>2326</v>
      </c>
      <c r="C47" s="44">
        <v>691880000</v>
      </c>
    </row>
    <row r="48" spans="1:3">
      <c r="A48" s="25">
        <v>43</v>
      </c>
      <c r="B48" s="11" t="s">
        <v>2327</v>
      </c>
      <c r="C48" s="44">
        <v>1050000000</v>
      </c>
    </row>
    <row r="49" spans="1:3">
      <c r="A49" s="25">
        <v>44</v>
      </c>
      <c r="B49" s="11" t="s">
        <v>2328</v>
      </c>
      <c r="C49" s="26">
        <v>1186640000</v>
      </c>
    </row>
    <row r="50" spans="1:3">
      <c r="A50" s="25">
        <v>45</v>
      </c>
      <c r="B50" s="11" t="s">
        <v>2329</v>
      </c>
      <c r="C50" s="26">
        <v>1051400000</v>
      </c>
    </row>
    <row r="51" spans="1:3">
      <c r="A51" s="25">
        <v>46</v>
      </c>
      <c r="B51" s="11" t="s">
        <v>2330</v>
      </c>
      <c r="C51" s="26">
        <v>330400000</v>
      </c>
    </row>
    <row r="52" spans="1:3">
      <c r="A52" s="25">
        <v>47</v>
      </c>
      <c r="B52" s="11" t="s">
        <v>2331</v>
      </c>
      <c r="C52" s="26">
        <v>817500000</v>
      </c>
    </row>
    <row r="53" spans="1:3">
      <c r="A53" s="25">
        <v>48</v>
      </c>
      <c r="B53" s="11" t="s">
        <v>2332</v>
      </c>
      <c r="C53" s="26">
        <v>267960000</v>
      </c>
    </row>
    <row r="54" spans="1:3">
      <c r="A54" s="25">
        <v>49</v>
      </c>
      <c r="B54" s="11" t="s">
        <v>2333</v>
      </c>
      <c r="C54" s="26">
        <v>333200000</v>
      </c>
    </row>
    <row r="55" spans="1:3">
      <c r="A55" s="25">
        <v>50</v>
      </c>
      <c r="B55" s="11" t="s">
        <v>2334</v>
      </c>
      <c r="C55" s="26">
        <v>833000000</v>
      </c>
    </row>
    <row r="56" spans="1:3">
      <c r="A56" s="25">
        <v>51</v>
      </c>
      <c r="B56" s="11" t="s">
        <v>2335</v>
      </c>
      <c r="C56" s="26">
        <v>203000000</v>
      </c>
    </row>
    <row r="57" spans="1:3">
      <c r="A57" s="25">
        <v>52</v>
      </c>
      <c r="B57" s="11" t="s">
        <v>2336</v>
      </c>
      <c r="C57" s="26">
        <v>554400000</v>
      </c>
    </row>
    <row r="58" spans="1:3">
      <c r="A58" s="25">
        <v>53</v>
      </c>
      <c r="B58" s="11" t="s">
        <v>2337</v>
      </c>
      <c r="C58" s="26">
        <v>1222200000</v>
      </c>
    </row>
    <row r="59" spans="1:3">
      <c r="A59" s="25">
        <v>54</v>
      </c>
      <c r="B59" s="11" t="s">
        <v>2338</v>
      </c>
      <c r="C59" s="26">
        <v>666400000</v>
      </c>
    </row>
    <row r="60" spans="1:3">
      <c r="A60" s="25">
        <v>55</v>
      </c>
      <c r="B60" s="11" t="s">
        <v>2339</v>
      </c>
      <c r="C60" s="26">
        <v>454720000</v>
      </c>
    </row>
    <row r="61" spans="1:3">
      <c r="A61" s="25">
        <v>56</v>
      </c>
      <c r="B61" s="11" t="s">
        <v>2340</v>
      </c>
      <c r="C61" s="26">
        <v>478800000</v>
      </c>
    </row>
    <row r="62" spans="1:3">
      <c r="A62" s="25">
        <v>57</v>
      </c>
      <c r="B62" s="11" t="s">
        <v>2341</v>
      </c>
      <c r="C62" s="26">
        <v>210000000</v>
      </c>
    </row>
    <row r="63" spans="1:3">
      <c r="A63" s="25">
        <v>58</v>
      </c>
      <c r="B63" s="11" t="s">
        <v>2342</v>
      </c>
      <c r="C63" s="26">
        <v>1001000000</v>
      </c>
    </row>
    <row r="64" spans="1:3">
      <c r="A64" s="25">
        <v>59</v>
      </c>
      <c r="B64" s="11" t="s">
        <v>2343</v>
      </c>
      <c r="C64" s="26">
        <v>442400000</v>
      </c>
    </row>
    <row r="65" spans="1:3">
      <c r="A65" s="25">
        <v>60</v>
      </c>
      <c r="B65" s="11" t="s">
        <v>2344</v>
      </c>
      <c r="C65" s="26">
        <v>124600000</v>
      </c>
    </row>
    <row r="66" spans="1:3">
      <c r="A66" s="25">
        <v>61</v>
      </c>
      <c r="B66" s="11" t="s">
        <v>2345</v>
      </c>
      <c r="C66" s="26">
        <v>641200000</v>
      </c>
    </row>
    <row r="67" spans="1:3">
      <c r="A67" s="25">
        <v>62</v>
      </c>
      <c r="B67" s="11" t="s">
        <v>2346</v>
      </c>
      <c r="C67" s="26">
        <v>663600000</v>
      </c>
    </row>
    <row r="68" spans="1:3">
      <c r="A68" s="25">
        <v>63</v>
      </c>
      <c r="B68" s="11" t="s">
        <v>2347</v>
      </c>
      <c r="C68" s="26">
        <v>967400000</v>
      </c>
    </row>
    <row r="69" spans="1:3">
      <c r="A69" s="25">
        <v>64</v>
      </c>
      <c r="B69" s="11" t="s">
        <v>2348</v>
      </c>
      <c r="C69" s="26">
        <v>1050280000</v>
      </c>
    </row>
    <row r="70" spans="1:3">
      <c r="A70" s="25">
        <v>65</v>
      </c>
      <c r="B70" s="11" t="s">
        <v>2248</v>
      </c>
      <c r="C70" s="26">
        <v>670040000</v>
      </c>
    </row>
    <row r="71" spans="1:3">
      <c r="A71" s="25">
        <v>66</v>
      </c>
      <c r="B71" s="11" t="s">
        <v>2349</v>
      </c>
      <c r="C71" s="26">
        <v>210000000</v>
      </c>
    </row>
    <row r="72" spans="1:3">
      <c r="A72" s="25">
        <v>67</v>
      </c>
      <c r="B72" s="11" t="s">
        <v>2350</v>
      </c>
      <c r="C72" s="26">
        <v>1350440000</v>
      </c>
    </row>
    <row r="73" spans="1:3">
      <c r="A73" s="25">
        <v>68</v>
      </c>
      <c r="B73" s="11" t="s">
        <v>2351</v>
      </c>
      <c r="C73" s="26">
        <v>1082200000</v>
      </c>
    </row>
    <row r="74" spans="1:3">
      <c r="A74" s="25">
        <v>69</v>
      </c>
      <c r="B74" s="11" t="s">
        <v>2247</v>
      </c>
      <c r="C74" s="26">
        <v>707560000</v>
      </c>
    </row>
    <row r="75" spans="1:3">
      <c r="A75" s="25">
        <v>70</v>
      </c>
      <c r="B75" s="11" t="s">
        <v>2234</v>
      </c>
      <c r="C75" s="26">
        <v>453040000</v>
      </c>
    </row>
    <row r="76" spans="1:3">
      <c r="A76" s="25">
        <v>71</v>
      </c>
      <c r="B76" s="11" t="s">
        <v>2352</v>
      </c>
      <c r="C76" s="26">
        <v>873600000</v>
      </c>
    </row>
    <row r="77" spans="1:3">
      <c r="A77" s="25">
        <v>72</v>
      </c>
      <c r="B77" s="11" t="s">
        <v>2353</v>
      </c>
      <c r="C77" s="26">
        <v>602000000</v>
      </c>
    </row>
    <row r="78" spans="1:3">
      <c r="A78" s="25">
        <v>73</v>
      </c>
      <c r="B78" s="11" t="s">
        <v>2354</v>
      </c>
      <c r="C78" s="26">
        <v>922320000</v>
      </c>
    </row>
    <row r="79" spans="1:3">
      <c r="A79" s="25">
        <v>74</v>
      </c>
      <c r="B79" s="11" t="s">
        <v>2355</v>
      </c>
      <c r="C79" s="26">
        <v>632800000</v>
      </c>
    </row>
    <row r="80" spans="1:3">
      <c r="A80" s="25">
        <v>75</v>
      </c>
      <c r="B80" s="11" t="s">
        <v>2356</v>
      </c>
      <c r="C80" s="26">
        <v>181440000</v>
      </c>
    </row>
    <row r="81" spans="1:3">
      <c r="A81" s="25">
        <v>76</v>
      </c>
      <c r="B81" s="11" t="s">
        <v>2267</v>
      </c>
      <c r="C81" s="26">
        <v>695240000</v>
      </c>
    </row>
    <row r="82" spans="1:3">
      <c r="A82" s="25">
        <v>77</v>
      </c>
      <c r="B82" s="11" t="s">
        <v>2357</v>
      </c>
      <c r="C82" s="26">
        <v>859600000</v>
      </c>
    </row>
    <row r="83" spans="1:3">
      <c r="A83" s="25">
        <v>78</v>
      </c>
      <c r="B83" s="11" t="s">
        <v>2358</v>
      </c>
      <c r="C83" s="26">
        <v>250600000</v>
      </c>
    </row>
    <row r="84" spans="1:3">
      <c r="A84" s="25">
        <v>79</v>
      </c>
      <c r="B84" s="11" t="s">
        <v>2359</v>
      </c>
      <c r="C84" s="26"/>
    </row>
    <row r="85" spans="1:3">
      <c r="A85" s="25">
        <v>80</v>
      </c>
      <c r="B85" s="11" t="s">
        <v>2360</v>
      </c>
      <c r="C85" s="26">
        <v>446000000</v>
      </c>
    </row>
    <row r="86" spans="1:3">
      <c r="A86" s="25">
        <v>81</v>
      </c>
      <c r="B86" s="11" t="s">
        <v>2361</v>
      </c>
      <c r="C86" s="26">
        <v>198000000</v>
      </c>
    </row>
    <row r="87" spans="1:3">
      <c r="A87" s="25">
        <v>82</v>
      </c>
      <c r="B87" s="11" t="s">
        <v>2362</v>
      </c>
      <c r="C87" s="26">
        <v>147600000</v>
      </c>
    </row>
    <row r="88" spans="1:3">
      <c r="A88" s="25">
        <v>83</v>
      </c>
      <c r="B88" s="11" t="s">
        <v>2363</v>
      </c>
      <c r="C88" s="26">
        <v>144000000</v>
      </c>
    </row>
    <row r="89" spans="1:3">
      <c r="A89" s="25">
        <v>84</v>
      </c>
      <c r="B89" s="11" t="s">
        <v>2364</v>
      </c>
      <c r="C89" s="26">
        <v>144000000</v>
      </c>
    </row>
    <row r="90" spans="1:3">
      <c r="A90" s="25">
        <v>85</v>
      </c>
      <c r="B90" s="11" t="s">
        <v>2365</v>
      </c>
      <c r="C90" s="26">
        <v>220000000</v>
      </c>
    </row>
    <row r="91" spans="1:3">
      <c r="A91" s="25">
        <v>86</v>
      </c>
      <c r="B91" s="11" t="s">
        <v>2366</v>
      </c>
      <c r="C91" s="26">
        <v>182000000</v>
      </c>
    </row>
    <row r="92" spans="1:3">
      <c r="A92" s="13">
        <v>87</v>
      </c>
      <c r="B92" s="14" t="s">
        <v>2282</v>
      </c>
      <c r="C92" s="45">
        <v>0</v>
      </c>
    </row>
    <row r="93" spans="1:3">
      <c r="A93" s="13"/>
      <c r="B93" s="14"/>
      <c r="C93" s="26"/>
    </row>
    <row r="94" spans="1:3" s="22" customFormat="1">
      <c r="A94" s="2222" t="s">
        <v>9</v>
      </c>
      <c r="B94" s="2223"/>
      <c r="C94" s="28">
        <f>SUM(C6:C93)</f>
        <v>57595460000</v>
      </c>
    </row>
  </sheetData>
  <mergeCells count="4">
    <mergeCell ref="A1:C1"/>
    <mergeCell ref="A2:C2"/>
    <mergeCell ref="A3:C3"/>
    <mergeCell ref="A94:B94"/>
  </mergeCells>
  <pageMargins left="1.07" right="0.69930555555555596" top="0.75" bottom="0.75" header="0.3" footer="0.3"/>
  <pageSetup paperSize="9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>
  <sheetPr>
    <tabColor rgb="FF00B0F0"/>
  </sheetPr>
  <dimension ref="A1:G100"/>
  <sheetViews>
    <sheetView topLeftCell="A71" workbookViewId="0">
      <selection activeCell="D37" sqref="D37"/>
    </sheetView>
  </sheetViews>
  <sheetFormatPr defaultColWidth="8.85546875" defaultRowHeight="15"/>
  <cols>
    <col min="1" max="1" width="3.42578125" style="1855" bestFit="1" customWidth="1"/>
    <col min="2" max="2" width="34.42578125" style="1855" bestFit="1" customWidth="1"/>
    <col min="3" max="4" width="16.5703125" style="1841" bestFit="1" customWidth="1"/>
    <col min="5" max="5" width="16.7109375" style="1841" bestFit="1" customWidth="1"/>
    <col min="6" max="7" width="15.140625" style="1841" bestFit="1" customWidth="1"/>
    <col min="8" max="16384" width="8.85546875" style="1841"/>
  </cols>
  <sheetData>
    <row r="1" spans="1:7">
      <c r="A1" s="2224" t="s">
        <v>0</v>
      </c>
      <c r="B1" s="2224"/>
      <c r="C1" s="2224"/>
      <c r="D1" s="2224"/>
      <c r="E1" s="2224"/>
    </row>
    <row r="2" spans="1:7">
      <c r="A2" s="2224" t="s">
        <v>2367</v>
      </c>
      <c r="B2" s="2224"/>
      <c r="C2" s="2224"/>
      <c r="D2" s="2224"/>
      <c r="E2" s="2224"/>
    </row>
    <row r="3" spans="1:7">
      <c r="A3" s="2224" t="s">
        <v>2</v>
      </c>
      <c r="B3" s="2224"/>
      <c r="C3" s="2224"/>
      <c r="D3" s="2224"/>
      <c r="E3" s="2224"/>
    </row>
    <row r="4" spans="1:7">
      <c r="G4" s="7" t="s">
        <v>2162</v>
      </c>
    </row>
    <row r="5" spans="1:7" ht="60">
      <c r="A5" s="1842" t="s">
        <v>1546</v>
      </c>
      <c r="B5" s="1844" t="s">
        <v>2193</v>
      </c>
      <c r="C5" s="1843" t="s">
        <v>2368</v>
      </c>
      <c r="D5" s="1843" t="s">
        <v>2369</v>
      </c>
      <c r="E5" s="1843" t="s">
        <v>2370</v>
      </c>
      <c r="F5" s="1844" t="s">
        <v>2732</v>
      </c>
      <c r="G5" s="1844" t="s">
        <v>2733</v>
      </c>
    </row>
    <row r="6" spans="1:7">
      <c r="A6" s="1845">
        <v>1</v>
      </c>
      <c r="B6" s="1846" t="s">
        <v>2287</v>
      </c>
      <c r="C6" s="1847">
        <v>155000000</v>
      </c>
      <c r="D6" s="1848">
        <v>0</v>
      </c>
      <c r="E6" s="1848">
        <v>0</v>
      </c>
      <c r="F6" s="1848">
        <v>0</v>
      </c>
      <c r="G6" s="1848">
        <v>0</v>
      </c>
    </row>
    <row r="7" spans="1:7">
      <c r="A7" s="1845">
        <v>2</v>
      </c>
      <c r="B7" s="1846" t="s">
        <v>2288</v>
      </c>
      <c r="C7" s="1848">
        <v>0</v>
      </c>
      <c r="D7" s="1848">
        <v>0</v>
      </c>
      <c r="E7" s="1848">
        <v>0</v>
      </c>
      <c r="F7" s="1848">
        <v>0</v>
      </c>
      <c r="G7" s="1848">
        <v>0</v>
      </c>
    </row>
    <row r="8" spans="1:7">
      <c r="A8" s="1845">
        <v>3</v>
      </c>
      <c r="B8" s="1891" t="s">
        <v>2289</v>
      </c>
      <c r="C8" s="1892">
        <v>155000000</v>
      </c>
      <c r="D8" s="1893">
        <v>0</v>
      </c>
      <c r="E8" s="1893">
        <v>0</v>
      </c>
      <c r="F8" s="1848">
        <v>0</v>
      </c>
      <c r="G8" s="1848">
        <v>0</v>
      </c>
    </row>
    <row r="9" spans="1:7">
      <c r="A9" s="1845">
        <v>4</v>
      </c>
      <c r="B9" s="1891" t="s">
        <v>2290</v>
      </c>
      <c r="C9" s="1893">
        <v>0</v>
      </c>
      <c r="D9" s="1893">
        <v>0</v>
      </c>
      <c r="E9" s="1893">
        <v>0</v>
      </c>
      <c r="F9" s="1848">
        <v>0</v>
      </c>
      <c r="G9" s="1848">
        <v>0</v>
      </c>
    </row>
    <row r="10" spans="1:7">
      <c r="A10" s="1845">
        <v>5</v>
      </c>
      <c r="B10" s="1891" t="s">
        <v>2291</v>
      </c>
      <c r="C10" s="1894">
        <v>164038000</v>
      </c>
      <c r="D10" s="1894">
        <v>76575000</v>
      </c>
      <c r="E10" s="1893">
        <v>0</v>
      </c>
      <c r="F10" s="1848">
        <v>0</v>
      </c>
      <c r="G10" s="1848">
        <v>0</v>
      </c>
    </row>
    <row r="11" spans="1:7">
      <c r="A11" s="1845">
        <v>6</v>
      </c>
      <c r="B11" s="1891" t="s">
        <v>2292</v>
      </c>
      <c r="C11" s="1894">
        <v>227438600</v>
      </c>
      <c r="D11" s="1894">
        <v>282381000</v>
      </c>
      <c r="E11" s="1893">
        <v>0</v>
      </c>
      <c r="F11" s="1848">
        <v>0</v>
      </c>
      <c r="G11" s="1848">
        <v>0</v>
      </c>
    </row>
    <row r="12" spans="1:7">
      <c r="A12" s="1845">
        <v>7</v>
      </c>
      <c r="B12" s="1891" t="s">
        <v>2293</v>
      </c>
      <c r="C12" s="1894">
        <v>305842000</v>
      </c>
      <c r="D12" s="1894">
        <v>389508000</v>
      </c>
      <c r="E12" s="1893">
        <v>0</v>
      </c>
      <c r="F12" s="1848">
        <v>0</v>
      </c>
      <c r="G12" s="1848">
        <v>0</v>
      </c>
    </row>
    <row r="13" spans="1:7">
      <c r="A13" s="1845">
        <v>8</v>
      </c>
      <c r="B13" s="1891" t="s">
        <v>2294</v>
      </c>
      <c r="C13" s="1893">
        <v>0</v>
      </c>
      <c r="D13" s="1893">
        <v>0</v>
      </c>
      <c r="E13" s="1893">
        <v>0</v>
      </c>
      <c r="F13" s="1848">
        <v>0</v>
      </c>
      <c r="G13" s="1848">
        <v>0</v>
      </c>
    </row>
    <row r="14" spans="1:7">
      <c r="A14" s="1845">
        <v>9</v>
      </c>
      <c r="B14" s="1846" t="s">
        <v>2273</v>
      </c>
      <c r="C14" s="1893">
        <v>0</v>
      </c>
      <c r="D14" s="1893">
        <v>0</v>
      </c>
      <c r="E14" s="1848">
        <v>0</v>
      </c>
      <c r="F14" s="1848">
        <v>0</v>
      </c>
      <c r="G14" s="1848">
        <v>0</v>
      </c>
    </row>
    <row r="15" spans="1:7">
      <c r="A15" s="1845">
        <v>10</v>
      </c>
      <c r="B15" s="1846" t="s">
        <v>2295</v>
      </c>
      <c r="C15" s="1848">
        <v>0</v>
      </c>
      <c r="D15" s="1848">
        <v>0</v>
      </c>
      <c r="E15" s="1848">
        <v>0</v>
      </c>
      <c r="F15" s="1848">
        <v>0</v>
      </c>
      <c r="G15" s="1848">
        <v>0</v>
      </c>
    </row>
    <row r="16" spans="1:7">
      <c r="A16" s="1845">
        <v>11</v>
      </c>
      <c r="B16" s="1846" t="s">
        <v>2296</v>
      </c>
      <c r="C16" s="1848">
        <v>0</v>
      </c>
      <c r="D16" s="1848">
        <v>0</v>
      </c>
      <c r="E16" s="1848">
        <v>0</v>
      </c>
      <c r="F16" s="1848">
        <v>0</v>
      </c>
      <c r="G16" s="1848">
        <v>0</v>
      </c>
    </row>
    <row r="17" spans="1:7">
      <c r="A17" s="1845">
        <v>12</v>
      </c>
      <c r="B17" s="1846" t="s">
        <v>2297</v>
      </c>
      <c r="C17" s="1848">
        <v>0</v>
      </c>
      <c r="D17" s="1848">
        <v>0</v>
      </c>
      <c r="E17" s="1848">
        <v>0</v>
      </c>
      <c r="F17" s="1848">
        <v>0</v>
      </c>
      <c r="G17" s="1848">
        <v>0</v>
      </c>
    </row>
    <row r="18" spans="1:7">
      <c r="A18" s="1845">
        <v>13</v>
      </c>
      <c r="B18" s="1846" t="s">
        <v>2298</v>
      </c>
      <c r="C18" s="1848">
        <v>0</v>
      </c>
      <c r="D18" s="1847">
        <v>1500000</v>
      </c>
      <c r="E18" s="1848">
        <v>0</v>
      </c>
      <c r="F18" s="1848">
        <v>0</v>
      </c>
      <c r="G18" s="1848">
        <v>0</v>
      </c>
    </row>
    <row r="19" spans="1:7">
      <c r="A19" s="1845">
        <v>14</v>
      </c>
      <c r="B19" s="1846" t="s">
        <v>2299</v>
      </c>
      <c r="C19" s="1848">
        <v>0</v>
      </c>
      <c r="D19" s="1848">
        <v>0</v>
      </c>
      <c r="E19" s="1848">
        <v>0</v>
      </c>
      <c r="F19" s="1848">
        <v>0</v>
      </c>
      <c r="G19" s="1848">
        <v>0</v>
      </c>
    </row>
    <row r="20" spans="1:7">
      <c r="A20" s="1845">
        <v>15</v>
      </c>
      <c r="B20" s="1846" t="s">
        <v>2300</v>
      </c>
      <c r="C20" s="1848">
        <v>0</v>
      </c>
      <c r="D20" s="1848">
        <v>0</v>
      </c>
      <c r="E20" s="1848">
        <v>0</v>
      </c>
      <c r="F20" s="1848">
        <v>0</v>
      </c>
      <c r="G20" s="1848">
        <v>0</v>
      </c>
    </row>
    <row r="21" spans="1:7">
      <c r="A21" s="1845">
        <v>16</v>
      </c>
      <c r="B21" s="1846" t="s">
        <v>2301</v>
      </c>
      <c r="C21" s="1848">
        <v>0</v>
      </c>
      <c r="D21" s="1848">
        <v>0</v>
      </c>
      <c r="E21" s="1848">
        <v>0</v>
      </c>
      <c r="F21" s="1848">
        <v>0</v>
      </c>
      <c r="G21" s="1848">
        <v>0</v>
      </c>
    </row>
    <row r="22" spans="1:7">
      <c r="A22" s="1845">
        <v>17</v>
      </c>
      <c r="B22" s="1846" t="s">
        <v>2302</v>
      </c>
      <c r="C22" s="1848">
        <v>0</v>
      </c>
      <c r="D22" s="1848">
        <v>0</v>
      </c>
      <c r="E22" s="1848">
        <v>0</v>
      </c>
      <c r="F22" s="1848">
        <v>0</v>
      </c>
      <c r="G22" s="1848">
        <v>0</v>
      </c>
    </row>
    <row r="23" spans="1:7">
      <c r="A23" s="1845">
        <v>18</v>
      </c>
      <c r="B23" s="1846" t="s">
        <v>2303</v>
      </c>
      <c r="C23" s="1848">
        <v>0</v>
      </c>
      <c r="D23" s="1848">
        <v>0</v>
      </c>
      <c r="E23" s="1848">
        <v>0</v>
      </c>
      <c r="F23" s="1848">
        <v>0</v>
      </c>
      <c r="G23" s="1848">
        <v>0</v>
      </c>
    </row>
    <row r="24" spans="1:7">
      <c r="A24" s="1845">
        <v>19</v>
      </c>
      <c r="B24" s="1846" t="s">
        <v>2304</v>
      </c>
      <c r="C24" s="1848">
        <v>0</v>
      </c>
      <c r="D24" s="1847">
        <v>85348100</v>
      </c>
      <c r="E24" s="1848">
        <v>0</v>
      </c>
      <c r="F24" s="1848">
        <v>0</v>
      </c>
      <c r="G24" s="1848">
        <v>0</v>
      </c>
    </row>
    <row r="25" spans="1:7">
      <c r="A25" s="1845">
        <v>20</v>
      </c>
      <c r="B25" s="1846" t="s">
        <v>2305</v>
      </c>
      <c r="C25" s="1848">
        <v>0</v>
      </c>
      <c r="D25" s="1848">
        <v>0</v>
      </c>
      <c r="E25" s="1848">
        <v>0</v>
      </c>
      <c r="F25" s="1848">
        <v>0</v>
      </c>
      <c r="G25" s="1848">
        <v>0</v>
      </c>
    </row>
    <row r="26" spans="1:7">
      <c r="A26" s="1845">
        <v>21</v>
      </c>
      <c r="B26" s="1846" t="s">
        <v>2306</v>
      </c>
      <c r="C26" s="1848">
        <v>0</v>
      </c>
      <c r="D26" s="1848">
        <v>0</v>
      </c>
      <c r="E26" s="1848">
        <v>0</v>
      </c>
      <c r="F26" s="1848">
        <v>0</v>
      </c>
      <c r="G26" s="1848">
        <v>0</v>
      </c>
    </row>
    <row r="27" spans="1:7">
      <c r="A27" s="1845">
        <v>22</v>
      </c>
      <c r="B27" s="1846" t="s">
        <v>2307</v>
      </c>
      <c r="C27" s="1895">
        <v>0</v>
      </c>
      <c r="D27" s="1893">
        <v>0</v>
      </c>
      <c r="E27" s="1848">
        <v>2691</v>
      </c>
      <c r="F27" s="1848">
        <v>0</v>
      </c>
      <c r="G27" s="1848">
        <v>0</v>
      </c>
    </row>
    <row r="28" spans="1:7">
      <c r="A28" s="1845">
        <v>23</v>
      </c>
      <c r="B28" s="1846" t="s">
        <v>2308</v>
      </c>
      <c r="C28" s="1847">
        <v>105616900</v>
      </c>
      <c r="D28" s="1896">
        <v>40550000</v>
      </c>
      <c r="E28" s="1848">
        <v>0</v>
      </c>
      <c r="F28" s="1848">
        <v>0</v>
      </c>
      <c r="G28" s="1848">
        <v>0</v>
      </c>
    </row>
    <row r="29" spans="1:7">
      <c r="A29" s="1845">
        <v>24</v>
      </c>
      <c r="B29" s="1846" t="s">
        <v>2241</v>
      </c>
      <c r="C29" s="1895">
        <v>0</v>
      </c>
      <c r="D29" s="1893">
        <v>0</v>
      </c>
      <c r="E29" s="1848">
        <v>0</v>
      </c>
      <c r="F29" s="1848">
        <v>0</v>
      </c>
      <c r="G29" s="1848">
        <v>0</v>
      </c>
    </row>
    <row r="30" spans="1:7">
      <c r="A30" s="1845">
        <v>25</v>
      </c>
      <c r="B30" s="1846" t="s">
        <v>2309</v>
      </c>
      <c r="C30" s="1848">
        <v>0</v>
      </c>
      <c r="D30" s="1848">
        <v>0</v>
      </c>
      <c r="E30" s="1848">
        <v>0</v>
      </c>
      <c r="F30" s="1848">
        <v>0</v>
      </c>
      <c r="G30" s="1848">
        <v>0</v>
      </c>
    </row>
    <row r="31" spans="1:7">
      <c r="A31" s="1845">
        <v>26</v>
      </c>
      <c r="B31" s="1891" t="s">
        <v>2310</v>
      </c>
      <c r="C31" s="1893">
        <v>0</v>
      </c>
      <c r="D31" s="1893">
        <v>0</v>
      </c>
      <c r="E31" s="1893">
        <v>0</v>
      </c>
      <c r="F31" s="1893">
        <v>0</v>
      </c>
      <c r="G31" s="1893">
        <v>0</v>
      </c>
    </row>
    <row r="32" spans="1:7">
      <c r="A32" s="1845">
        <v>27</v>
      </c>
      <c r="B32" s="1891" t="s">
        <v>2311</v>
      </c>
      <c r="C32" s="1894">
        <v>148292000</v>
      </c>
      <c r="D32" s="1893">
        <v>0</v>
      </c>
      <c r="E32" s="1893">
        <v>0</v>
      </c>
      <c r="F32" s="1893">
        <v>0</v>
      </c>
      <c r="G32" s="1893">
        <v>0</v>
      </c>
    </row>
    <row r="33" spans="1:7">
      <c r="A33" s="1845">
        <v>28</v>
      </c>
      <c r="B33" s="1891" t="s">
        <v>2312</v>
      </c>
      <c r="C33" s="1893">
        <v>0</v>
      </c>
      <c r="D33" s="1893">
        <v>0</v>
      </c>
      <c r="E33" s="1893">
        <v>0</v>
      </c>
      <c r="F33" s="1893">
        <v>0</v>
      </c>
      <c r="G33" s="1893">
        <v>0</v>
      </c>
    </row>
    <row r="34" spans="1:7">
      <c r="A34" s="1845">
        <v>29</v>
      </c>
      <c r="B34" s="1891" t="s">
        <v>2313</v>
      </c>
      <c r="C34" s="1893">
        <v>0</v>
      </c>
      <c r="D34" s="1893">
        <v>0</v>
      </c>
      <c r="E34" s="1893">
        <v>0</v>
      </c>
      <c r="F34" s="1893">
        <v>0</v>
      </c>
      <c r="G34" s="1893">
        <v>0</v>
      </c>
    </row>
    <row r="35" spans="1:7">
      <c r="A35" s="1845">
        <v>30</v>
      </c>
      <c r="B35" s="1891" t="s">
        <v>2314</v>
      </c>
      <c r="C35" s="1893">
        <v>0</v>
      </c>
      <c r="D35" s="1893">
        <v>0</v>
      </c>
      <c r="E35" s="1893">
        <v>0</v>
      </c>
      <c r="F35" s="1893">
        <v>0</v>
      </c>
      <c r="G35" s="1893">
        <v>0</v>
      </c>
    </row>
    <row r="36" spans="1:7">
      <c r="A36" s="1845">
        <v>31</v>
      </c>
      <c r="B36" s="1891" t="s">
        <v>2315</v>
      </c>
      <c r="C36" s="1893">
        <v>0</v>
      </c>
      <c r="D36" s="1893">
        <v>0</v>
      </c>
      <c r="E36" s="1893">
        <v>0</v>
      </c>
      <c r="F36" s="1893">
        <v>0</v>
      </c>
      <c r="G36" s="1893">
        <v>0</v>
      </c>
    </row>
    <row r="37" spans="1:7">
      <c r="A37" s="1845">
        <v>32</v>
      </c>
      <c r="B37" s="1891" t="s">
        <v>2316</v>
      </c>
      <c r="C37" s="1894">
        <v>250000000</v>
      </c>
      <c r="D37" s="1893">
        <v>0</v>
      </c>
      <c r="E37" s="1893">
        <v>0</v>
      </c>
      <c r="F37" s="1893">
        <v>0</v>
      </c>
      <c r="G37" s="1893">
        <v>0</v>
      </c>
    </row>
    <row r="38" spans="1:7">
      <c r="A38" s="1845">
        <v>33</v>
      </c>
      <c r="B38" s="1891" t="s">
        <v>2317</v>
      </c>
      <c r="C38" s="1894">
        <v>221172636</v>
      </c>
      <c r="D38" s="1893">
        <v>0</v>
      </c>
      <c r="E38" s="1893">
        <v>0</v>
      </c>
      <c r="F38" s="1893">
        <v>0</v>
      </c>
      <c r="G38" s="1893">
        <v>0</v>
      </c>
    </row>
    <row r="39" spans="1:7">
      <c r="A39" s="1845">
        <v>34</v>
      </c>
      <c r="B39" s="1891" t="s">
        <v>2318</v>
      </c>
      <c r="C39" s="1893">
        <v>0</v>
      </c>
      <c r="D39" s="1893">
        <v>0</v>
      </c>
      <c r="E39" s="1893">
        <v>0</v>
      </c>
      <c r="F39" s="1893">
        <v>0</v>
      </c>
      <c r="G39" s="1893">
        <v>0</v>
      </c>
    </row>
    <row r="40" spans="1:7">
      <c r="A40" s="1845">
        <v>35</v>
      </c>
      <c r="B40" s="1891" t="s">
        <v>2319</v>
      </c>
      <c r="C40" s="1893">
        <v>0</v>
      </c>
      <c r="D40" s="1893">
        <v>0</v>
      </c>
      <c r="E40" s="1893">
        <v>0</v>
      </c>
      <c r="F40" s="1893">
        <v>0</v>
      </c>
      <c r="G40" s="1893">
        <v>0</v>
      </c>
    </row>
    <row r="41" spans="1:7">
      <c r="A41" s="1845">
        <v>36</v>
      </c>
      <c r="B41" s="1891" t="s">
        <v>2320</v>
      </c>
      <c r="C41" s="1893">
        <v>116700000</v>
      </c>
      <c r="D41" s="1893">
        <v>0</v>
      </c>
      <c r="E41" s="1893">
        <v>0</v>
      </c>
      <c r="F41" s="1893">
        <v>0</v>
      </c>
      <c r="G41" s="1893">
        <v>0</v>
      </c>
    </row>
    <row r="42" spans="1:7">
      <c r="A42" s="1845">
        <v>37</v>
      </c>
      <c r="B42" s="1891" t="s">
        <v>2321</v>
      </c>
      <c r="C42" s="1893">
        <v>0</v>
      </c>
      <c r="D42" s="1893">
        <v>0</v>
      </c>
      <c r="E42" s="1893">
        <v>0</v>
      </c>
      <c r="F42" s="1893">
        <v>0</v>
      </c>
      <c r="G42" s="1893">
        <v>0</v>
      </c>
    </row>
    <row r="43" spans="1:7">
      <c r="A43" s="1845">
        <v>38</v>
      </c>
      <c r="B43" s="1891" t="s">
        <v>2322</v>
      </c>
      <c r="C43" s="1893">
        <v>0</v>
      </c>
      <c r="D43" s="1893">
        <v>0</v>
      </c>
      <c r="E43" s="1893">
        <v>0</v>
      </c>
      <c r="F43" s="1893">
        <v>0</v>
      </c>
      <c r="G43" s="1893">
        <v>0</v>
      </c>
    </row>
    <row r="44" spans="1:7">
      <c r="A44" s="1845">
        <v>39</v>
      </c>
      <c r="B44" s="1891" t="s">
        <v>2323</v>
      </c>
      <c r="C44" s="1893">
        <v>0</v>
      </c>
      <c r="D44" s="1893">
        <v>0</v>
      </c>
      <c r="E44" s="1893">
        <v>0</v>
      </c>
      <c r="F44" s="1893">
        <v>0</v>
      </c>
      <c r="G44" s="1893">
        <v>0</v>
      </c>
    </row>
    <row r="45" spans="1:7">
      <c r="A45" s="1845">
        <v>40</v>
      </c>
      <c r="B45" s="1891" t="s">
        <v>2324</v>
      </c>
      <c r="C45" s="1893">
        <v>0</v>
      </c>
      <c r="D45" s="1893">
        <v>0</v>
      </c>
      <c r="E45" s="1893">
        <v>0</v>
      </c>
      <c r="F45" s="1893">
        <v>0</v>
      </c>
      <c r="G45" s="1893">
        <v>0</v>
      </c>
    </row>
    <row r="46" spans="1:7">
      <c r="A46" s="1845">
        <v>41</v>
      </c>
      <c r="B46" s="1891" t="s">
        <v>2325</v>
      </c>
      <c r="C46" s="1894">
        <v>3500000</v>
      </c>
      <c r="D46" s="1893">
        <v>0</v>
      </c>
      <c r="E46" s="1894">
        <v>6536</v>
      </c>
      <c r="F46" s="1893">
        <v>0</v>
      </c>
      <c r="G46" s="1893">
        <v>0</v>
      </c>
    </row>
    <row r="47" spans="1:7">
      <c r="A47" s="1845">
        <v>42</v>
      </c>
      <c r="B47" s="1891" t="s">
        <v>2326</v>
      </c>
      <c r="C47" s="1894">
        <v>0</v>
      </c>
      <c r="D47" s="1893">
        <v>0</v>
      </c>
      <c r="E47" s="1894">
        <v>42980</v>
      </c>
      <c r="F47" s="1893">
        <v>0</v>
      </c>
      <c r="G47" s="1893">
        <v>0</v>
      </c>
    </row>
    <row r="48" spans="1:7">
      <c r="A48" s="1845">
        <v>43</v>
      </c>
      <c r="B48" s="1891" t="s">
        <v>2327</v>
      </c>
      <c r="C48" s="1894">
        <v>237866500</v>
      </c>
      <c r="D48" s="1894">
        <v>38300000</v>
      </c>
      <c r="E48" s="1894">
        <v>146314</v>
      </c>
      <c r="F48" s="1893">
        <v>0</v>
      </c>
      <c r="G48" s="1893">
        <v>0</v>
      </c>
    </row>
    <row r="49" spans="1:7">
      <c r="A49" s="1845">
        <v>44</v>
      </c>
      <c r="B49" s="1891" t="s">
        <v>2328</v>
      </c>
      <c r="C49" s="1894">
        <v>208404000</v>
      </c>
      <c r="D49" s="1893">
        <v>0</v>
      </c>
      <c r="E49" s="1893">
        <v>0</v>
      </c>
      <c r="F49" s="1893">
        <v>0</v>
      </c>
      <c r="G49" s="1893">
        <v>0</v>
      </c>
    </row>
    <row r="50" spans="1:7">
      <c r="A50" s="1845">
        <v>45</v>
      </c>
      <c r="B50" s="1891" t="s">
        <v>2329</v>
      </c>
      <c r="C50" s="1893">
        <v>0</v>
      </c>
      <c r="D50" s="1893">
        <v>0</v>
      </c>
      <c r="E50" s="1893">
        <v>0</v>
      </c>
      <c r="F50" s="1893">
        <v>0</v>
      </c>
      <c r="G50" s="1893">
        <v>0</v>
      </c>
    </row>
    <row r="51" spans="1:7">
      <c r="A51" s="1845">
        <v>46</v>
      </c>
      <c r="B51" s="1891" t="s">
        <v>2330</v>
      </c>
      <c r="C51" s="1893">
        <v>0</v>
      </c>
      <c r="D51" s="1893">
        <v>0</v>
      </c>
      <c r="E51" s="1894">
        <v>69505</v>
      </c>
      <c r="F51" s="1893">
        <v>0</v>
      </c>
      <c r="G51" s="1893">
        <v>0</v>
      </c>
    </row>
    <row r="52" spans="1:7">
      <c r="A52" s="1845">
        <v>47</v>
      </c>
      <c r="B52" s="1891" t="s">
        <v>2331</v>
      </c>
      <c r="C52" s="1893">
        <v>0</v>
      </c>
      <c r="D52" s="1893">
        <v>0</v>
      </c>
      <c r="E52" s="1893">
        <v>0</v>
      </c>
      <c r="F52" s="1893">
        <v>0</v>
      </c>
      <c r="G52" s="1893">
        <v>0</v>
      </c>
    </row>
    <row r="53" spans="1:7">
      <c r="A53" s="1845">
        <v>48</v>
      </c>
      <c r="B53" s="1891" t="s">
        <v>2332</v>
      </c>
      <c r="C53" s="1893">
        <v>0</v>
      </c>
      <c r="D53" s="1893">
        <v>0</v>
      </c>
      <c r="E53" s="1893">
        <v>0</v>
      </c>
      <c r="F53" s="1893">
        <v>0</v>
      </c>
      <c r="G53" s="1893">
        <v>0</v>
      </c>
    </row>
    <row r="54" spans="1:7">
      <c r="A54" s="1845">
        <v>49</v>
      </c>
      <c r="B54" s="1891" t="s">
        <v>2333</v>
      </c>
      <c r="C54" s="1893">
        <v>0</v>
      </c>
      <c r="D54" s="1893">
        <v>0</v>
      </c>
      <c r="E54" s="1893">
        <v>0</v>
      </c>
      <c r="F54" s="1893">
        <v>0</v>
      </c>
      <c r="G54" s="1893">
        <v>0</v>
      </c>
    </row>
    <row r="55" spans="1:7">
      <c r="A55" s="1845">
        <v>50</v>
      </c>
      <c r="B55" s="1891" t="s">
        <v>2334</v>
      </c>
      <c r="C55" s="1893">
        <v>0</v>
      </c>
      <c r="D55" s="1893">
        <v>0</v>
      </c>
      <c r="E55" s="1893">
        <v>0</v>
      </c>
      <c r="F55" s="1893">
        <v>0</v>
      </c>
      <c r="G55" s="1893">
        <v>0</v>
      </c>
    </row>
    <row r="56" spans="1:7">
      <c r="A56" s="1845">
        <v>51</v>
      </c>
      <c r="B56" s="1891" t="s">
        <v>2335</v>
      </c>
      <c r="C56" s="1894">
        <v>8500000</v>
      </c>
      <c r="D56" s="1893">
        <v>0</v>
      </c>
      <c r="E56" s="1893">
        <v>0</v>
      </c>
      <c r="F56" s="1893">
        <v>0</v>
      </c>
      <c r="G56" s="1893">
        <v>0</v>
      </c>
    </row>
    <row r="57" spans="1:7">
      <c r="A57" s="1845">
        <v>52</v>
      </c>
      <c r="B57" s="1891" t="s">
        <v>2336</v>
      </c>
      <c r="C57" s="1893">
        <v>0</v>
      </c>
      <c r="D57" s="1893">
        <v>0</v>
      </c>
      <c r="E57" s="1893">
        <v>0</v>
      </c>
      <c r="F57" s="1893">
        <v>0</v>
      </c>
      <c r="G57" s="1893">
        <v>0</v>
      </c>
    </row>
    <row r="58" spans="1:7">
      <c r="A58" s="1845">
        <v>53</v>
      </c>
      <c r="B58" s="1891" t="s">
        <v>2337</v>
      </c>
      <c r="C58" s="1893">
        <v>0</v>
      </c>
      <c r="D58" s="1893">
        <v>0</v>
      </c>
      <c r="E58" s="1893">
        <v>0</v>
      </c>
      <c r="F58" s="1893">
        <v>0</v>
      </c>
      <c r="G58" s="1893">
        <v>0</v>
      </c>
    </row>
    <row r="59" spans="1:7">
      <c r="A59" s="1845">
        <v>54</v>
      </c>
      <c r="B59" s="1891" t="s">
        <v>2338</v>
      </c>
      <c r="C59" s="1893">
        <v>0</v>
      </c>
      <c r="D59" s="1893">
        <v>0</v>
      </c>
      <c r="E59" s="1893">
        <v>0</v>
      </c>
      <c r="F59" s="1893">
        <v>0</v>
      </c>
      <c r="G59" s="1893">
        <v>0</v>
      </c>
    </row>
    <row r="60" spans="1:7">
      <c r="A60" s="1845">
        <v>55</v>
      </c>
      <c r="B60" s="1891" t="s">
        <v>2339</v>
      </c>
      <c r="C60" s="1893">
        <v>0</v>
      </c>
      <c r="D60" s="1893">
        <v>0</v>
      </c>
      <c r="E60" s="1893">
        <v>0</v>
      </c>
      <c r="F60" s="1893">
        <v>0</v>
      </c>
      <c r="G60" s="1893">
        <v>0</v>
      </c>
    </row>
    <row r="61" spans="1:7" ht="13.9" customHeight="1">
      <c r="A61" s="1845">
        <v>56</v>
      </c>
      <c r="B61" s="1891" t="s">
        <v>2340</v>
      </c>
      <c r="C61" s="1893">
        <v>0</v>
      </c>
      <c r="D61" s="1893">
        <v>0</v>
      </c>
      <c r="E61" s="1893">
        <v>0</v>
      </c>
      <c r="F61" s="1893">
        <v>0</v>
      </c>
      <c r="G61" s="1893">
        <v>0</v>
      </c>
    </row>
    <row r="62" spans="1:7">
      <c r="A62" s="1845">
        <v>57</v>
      </c>
      <c r="B62" s="1891" t="s">
        <v>2341</v>
      </c>
      <c r="C62" s="1893">
        <v>0</v>
      </c>
      <c r="D62" s="1893">
        <v>0</v>
      </c>
      <c r="E62" s="1893">
        <v>0</v>
      </c>
      <c r="F62" s="1893">
        <v>0</v>
      </c>
      <c r="G62" s="1893">
        <v>0</v>
      </c>
    </row>
    <row r="63" spans="1:7">
      <c r="A63" s="1845">
        <v>58</v>
      </c>
      <c r="B63" s="1891" t="s">
        <v>2342</v>
      </c>
      <c r="C63" s="1893">
        <v>0</v>
      </c>
      <c r="D63" s="1893">
        <v>0</v>
      </c>
      <c r="E63" s="1893">
        <v>105002</v>
      </c>
      <c r="F63" s="1893">
        <v>0</v>
      </c>
      <c r="G63" s="1893">
        <v>0</v>
      </c>
    </row>
    <row r="64" spans="1:7">
      <c r="A64" s="1845">
        <v>59</v>
      </c>
      <c r="B64" s="1891" t="s">
        <v>2343</v>
      </c>
      <c r="C64" s="1893">
        <v>0</v>
      </c>
      <c r="D64" s="1893">
        <v>0</v>
      </c>
      <c r="E64" s="1894">
        <v>56126</v>
      </c>
      <c r="F64" s="1893">
        <v>0</v>
      </c>
      <c r="G64" s="1893">
        <v>0</v>
      </c>
    </row>
    <row r="65" spans="1:7">
      <c r="A65" s="1845">
        <v>60</v>
      </c>
      <c r="B65" s="1891" t="s">
        <v>2344</v>
      </c>
      <c r="C65" s="1894">
        <v>230225000</v>
      </c>
      <c r="D65" s="1893">
        <v>0</v>
      </c>
      <c r="E65" s="1893">
        <v>0</v>
      </c>
      <c r="F65" s="1893">
        <v>0</v>
      </c>
      <c r="G65" s="1893">
        <v>0</v>
      </c>
    </row>
    <row r="66" spans="1:7">
      <c r="A66" s="1845">
        <v>61</v>
      </c>
      <c r="B66" s="1891" t="s">
        <v>2345</v>
      </c>
      <c r="C66" s="1894">
        <v>100000000</v>
      </c>
      <c r="D66" s="1893">
        <v>0</v>
      </c>
      <c r="E66" s="1893">
        <v>0</v>
      </c>
      <c r="F66" s="1893">
        <v>0</v>
      </c>
      <c r="G66" s="1893">
        <v>0</v>
      </c>
    </row>
    <row r="67" spans="1:7">
      <c r="A67" s="1845">
        <v>62</v>
      </c>
      <c r="B67" s="1891" t="s">
        <v>2346</v>
      </c>
      <c r="C67" s="1893">
        <v>0</v>
      </c>
      <c r="D67" s="1893">
        <v>0</v>
      </c>
      <c r="E67" s="1893">
        <v>0</v>
      </c>
      <c r="F67" s="1893">
        <v>0</v>
      </c>
      <c r="G67" s="1893">
        <v>0</v>
      </c>
    </row>
    <row r="68" spans="1:7">
      <c r="A68" s="1845">
        <v>63</v>
      </c>
      <c r="B68" s="1891" t="s">
        <v>2347</v>
      </c>
      <c r="C68" s="1894">
        <v>155000000</v>
      </c>
      <c r="D68" s="1893">
        <v>0</v>
      </c>
      <c r="E68" s="1893">
        <v>0</v>
      </c>
      <c r="F68" s="1893">
        <v>0</v>
      </c>
      <c r="G68" s="1893">
        <v>0</v>
      </c>
    </row>
    <row r="69" spans="1:7">
      <c r="A69" s="1845">
        <v>64</v>
      </c>
      <c r="B69" s="1891" t="s">
        <v>2348</v>
      </c>
      <c r="C69" s="1893">
        <v>0</v>
      </c>
      <c r="D69" s="1893">
        <v>0</v>
      </c>
      <c r="E69" s="1893">
        <v>0</v>
      </c>
      <c r="F69" s="1893">
        <v>0</v>
      </c>
      <c r="G69" s="1893">
        <v>0</v>
      </c>
    </row>
    <row r="70" spans="1:7">
      <c r="A70" s="1845">
        <v>65</v>
      </c>
      <c r="B70" s="1891" t="s">
        <v>2248</v>
      </c>
      <c r="C70" s="1893">
        <v>0</v>
      </c>
      <c r="D70" s="1893">
        <v>0</v>
      </c>
      <c r="E70" s="1893">
        <v>46897</v>
      </c>
      <c r="F70" s="1893">
        <v>0</v>
      </c>
      <c r="G70" s="1893">
        <v>0</v>
      </c>
    </row>
    <row r="71" spans="1:7">
      <c r="A71" s="1845">
        <v>66</v>
      </c>
      <c r="B71" s="1891" t="s">
        <v>2349</v>
      </c>
      <c r="C71" s="1894">
        <v>72000000</v>
      </c>
      <c r="D71" s="1893">
        <v>0</v>
      </c>
      <c r="E71" s="1893">
        <v>191686</v>
      </c>
      <c r="F71" s="1893">
        <v>0</v>
      </c>
      <c r="G71" s="1893">
        <v>0</v>
      </c>
    </row>
    <row r="72" spans="1:7">
      <c r="A72" s="1845">
        <v>67</v>
      </c>
      <c r="B72" s="1891" t="s">
        <v>2350</v>
      </c>
      <c r="C72" s="1893">
        <v>0</v>
      </c>
      <c r="D72" s="1893">
        <v>0</v>
      </c>
      <c r="E72" s="1894">
        <v>113255</v>
      </c>
      <c r="F72" s="1893">
        <v>0</v>
      </c>
      <c r="G72" s="1893">
        <v>0</v>
      </c>
    </row>
    <row r="73" spans="1:7">
      <c r="A73" s="1845">
        <v>68</v>
      </c>
      <c r="B73" s="1891" t="s">
        <v>2351</v>
      </c>
      <c r="C73" s="1893">
        <v>0</v>
      </c>
      <c r="D73" s="1893">
        <v>0</v>
      </c>
      <c r="E73" s="1893">
        <v>81381</v>
      </c>
      <c r="F73" s="1893">
        <v>0</v>
      </c>
      <c r="G73" s="1893">
        <v>0</v>
      </c>
    </row>
    <row r="74" spans="1:7">
      <c r="A74" s="1845">
        <v>69</v>
      </c>
      <c r="B74" s="1891" t="s">
        <v>2247</v>
      </c>
      <c r="C74" s="1894">
        <v>55550000</v>
      </c>
      <c r="D74" s="1894">
        <v>28850000</v>
      </c>
      <c r="E74" s="1893">
        <v>0</v>
      </c>
      <c r="F74" s="1893">
        <v>0</v>
      </c>
      <c r="G74" s="1893">
        <v>0</v>
      </c>
    </row>
    <row r="75" spans="1:7">
      <c r="A75" s="1845">
        <v>70</v>
      </c>
      <c r="B75" s="1891" t="s">
        <v>2234</v>
      </c>
      <c r="C75" s="1893">
        <v>0</v>
      </c>
      <c r="D75" s="1893">
        <v>0</v>
      </c>
      <c r="E75" s="1893">
        <v>0</v>
      </c>
      <c r="F75" s="1893">
        <v>0</v>
      </c>
      <c r="G75" s="1893">
        <v>0</v>
      </c>
    </row>
    <row r="76" spans="1:7">
      <c r="A76" s="1845">
        <v>71</v>
      </c>
      <c r="B76" s="1891" t="s">
        <v>2352</v>
      </c>
      <c r="C76" s="1894">
        <v>148205500</v>
      </c>
      <c r="D76" s="1893">
        <v>0</v>
      </c>
      <c r="E76" s="1893">
        <v>0</v>
      </c>
      <c r="F76" s="1893">
        <v>0</v>
      </c>
      <c r="G76" s="1893">
        <v>0</v>
      </c>
    </row>
    <row r="77" spans="1:7">
      <c r="A77" s="1845">
        <v>72</v>
      </c>
      <c r="B77" s="1891" t="s">
        <v>2353</v>
      </c>
      <c r="C77" s="1893">
        <v>0</v>
      </c>
      <c r="D77" s="1893">
        <v>0</v>
      </c>
      <c r="E77" s="1893">
        <v>0</v>
      </c>
      <c r="F77" s="1893">
        <v>0</v>
      </c>
      <c r="G77" s="1893">
        <v>0</v>
      </c>
    </row>
    <row r="78" spans="1:7">
      <c r="A78" s="1845">
        <v>73</v>
      </c>
      <c r="B78" s="1891" t="s">
        <v>2354</v>
      </c>
      <c r="C78" s="1893">
        <v>0</v>
      </c>
      <c r="D78" s="1893">
        <v>0</v>
      </c>
      <c r="E78" s="1893">
        <v>0</v>
      </c>
      <c r="F78" s="1893">
        <v>0</v>
      </c>
      <c r="G78" s="1893">
        <v>0</v>
      </c>
    </row>
    <row r="79" spans="1:7">
      <c r="A79" s="1845">
        <v>74</v>
      </c>
      <c r="B79" s="1891" t="s">
        <v>2355</v>
      </c>
      <c r="C79" s="1893">
        <v>0</v>
      </c>
      <c r="D79" s="1893">
        <v>0</v>
      </c>
      <c r="E79" s="1893">
        <v>0</v>
      </c>
      <c r="F79" s="1893">
        <v>0</v>
      </c>
      <c r="G79" s="1893">
        <v>0</v>
      </c>
    </row>
    <row r="80" spans="1:7">
      <c r="A80" s="1845">
        <v>75</v>
      </c>
      <c r="B80" s="1891" t="s">
        <v>2356</v>
      </c>
      <c r="C80" s="1893">
        <v>0</v>
      </c>
      <c r="D80" s="1893">
        <v>0</v>
      </c>
      <c r="E80" s="1893">
        <v>0</v>
      </c>
      <c r="F80" s="1893">
        <v>0</v>
      </c>
      <c r="G80" s="1893">
        <v>0</v>
      </c>
    </row>
    <row r="81" spans="1:7">
      <c r="A81" s="1845">
        <v>76</v>
      </c>
      <c r="B81" s="1891" t="s">
        <v>2267</v>
      </c>
      <c r="C81" s="1893">
        <v>0</v>
      </c>
      <c r="D81" s="1893">
        <v>0</v>
      </c>
      <c r="E81" s="1893">
        <v>0</v>
      </c>
      <c r="F81" s="1893">
        <v>0</v>
      </c>
      <c r="G81" s="1893">
        <v>0</v>
      </c>
    </row>
    <row r="82" spans="1:7">
      <c r="A82" s="1845">
        <v>77</v>
      </c>
      <c r="B82" s="1891" t="s">
        <v>2357</v>
      </c>
      <c r="C82" s="1893">
        <v>0</v>
      </c>
      <c r="D82" s="1893">
        <v>0</v>
      </c>
      <c r="E82" s="1893">
        <v>0</v>
      </c>
      <c r="F82" s="1893">
        <v>0</v>
      </c>
      <c r="G82" s="1893">
        <v>0</v>
      </c>
    </row>
    <row r="83" spans="1:7">
      <c r="A83" s="1845">
        <v>78</v>
      </c>
      <c r="B83" s="1891" t="s">
        <v>2358</v>
      </c>
      <c r="C83" s="1893">
        <v>0</v>
      </c>
      <c r="D83" s="1893">
        <v>0</v>
      </c>
      <c r="E83" s="1893">
        <v>0</v>
      </c>
      <c r="F83" s="1893">
        <v>0</v>
      </c>
      <c r="G83" s="1893">
        <v>0</v>
      </c>
    </row>
    <row r="84" spans="1:7">
      <c r="A84" s="1845">
        <v>79</v>
      </c>
      <c r="B84" s="1891" t="s">
        <v>2359</v>
      </c>
      <c r="C84" s="1893">
        <v>0</v>
      </c>
      <c r="D84" s="1893">
        <v>0</v>
      </c>
      <c r="E84" s="1893">
        <v>0</v>
      </c>
      <c r="F84" s="1893">
        <v>0</v>
      </c>
      <c r="G84" s="1893">
        <v>0</v>
      </c>
    </row>
    <row r="85" spans="1:7">
      <c r="A85" s="1845">
        <v>80</v>
      </c>
      <c r="B85" s="1891" t="s">
        <v>2360</v>
      </c>
      <c r="C85" s="1894">
        <v>537349000</v>
      </c>
      <c r="D85" s="1893">
        <v>0</v>
      </c>
      <c r="E85" s="1893">
        <v>0</v>
      </c>
      <c r="F85" s="1893">
        <v>0</v>
      </c>
      <c r="G85" s="1893">
        <v>0</v>
      </c>
    </row>
    <row r="86" spans="1:7">
      <c r="A86" s="1845">
        <v>81</v>
      </c>
      <c r="B86" s="1891" t="s">
        <v>2361</v>
      </c>
      <c r="C86" s="1894">
        <v>263283700</v>
      </c>
      <c r="D86" s="1894">
        <v>8700000</v>
      </c>
      <c r="E86" s="1893">
        <v>0</v>
      </c>
      <c r="F86" s="1893">
        <v>0</v>
      </c>
      <c r="G86" s="1893">
        <v>0</v>
      </c>
    </row>
    <row r="87" spans="1:7">
      <c r="A87" s="1845">
        <v>82</v>
      </c>
      <c r="B87" s="1891" t="s">
        <v>2362</v>
      </c>
      <c r="C87" s="1894">
        <f>56200000+125500000+53300000+16826200</f>
        <v>251826200</v>
      </c>
      <c r="D87" s="1894">
        <f>18800000+23700000+9000000</f>
        <v>51500000</v>
      </c>
      <c r="E87" s="1893">
        <v>0</v>
      </c>
      <c r="F87" s="1893">
        <v>0</v>
      </c>
      <c r="G87" s="1893">
        <v>0</v>
      </c>
    </row>
    <row r="88" spans="1:7">
      <c r="A88" s="1845">
        <v>83</v>
      </c>
      <c r="B88" s="1891" t="s">
        <v>2363</v>
      </c>
      <c r="C88" s="1894">
        <v>146345100</v>
      </c>
      <c r="D88" s="1893">
        <v>0</v>
      </c>
      <c r="E88" s="1893">
        <v>0</v>
      </c>
      <c r="F88" s="1893">
        <v>0</v>
      </c>
      <c r="G88" s="1893">
        <v>0</v>
      </c>
    </row>
    <row r="89" spans="1:7">
      <c r="A89" s="1845">
        <v>84</v>
      </c>
      <c r="B89" s="1891" t="s">
        <v>2364</v>
      </c>
      <c r="C89" s="1894">
        <v>141283600</v>
      </c>
      <c r="D89" s="1894">
        <v>57920000</v>
      </c>
      <c r="E89" s="1893">
        <v>0</v>
      </c>
      <c r="F89" s="1893">
        <v>0</v>
      </c>
      <c r="G89" s="1893">
        <v>0</v>
      </c>
    </row>
    <row r="90" spans="1:7">
      <c r="A90" s="1845">
        <v>85</v>
      </c>
      <c r="B90" s="1891" t="s">
        <v>2365</v>
      </c>
      <c r="C90" s="1894">
        <v>166750000</v>
      </c>
      <c r="D90" s="1894">
        <v>40593000</v>
      </c>
      <c r="E90" s="1893">
        <v>0</v>
      </c>
      <c r="F90" s="1893">
        <v>0</v>
      </c>
      <c r="G90" s="1893">
        <v>0</v>
      </c>
    </row>
    <row r="91" spans="1:7">
      <c r="A91" s="1845">
        <v>86</v>
      </c>
      <c r="B91" s="1891" t="s">
        <v>2366</v>
      </c>
      <c r="C91" s="1894">
        <v>229063300</v>
      </c>
      <c r="D91" s="1893">
        <v>0</v>
      </c>
      <c r="E91" s="1893">
        <v>0</v>
      </c>
      <c r="F91" s="1893">
        <v>0</v>
      </c>
      <c r="G91" s="1893">
        <v>0</v>
      </c>
    </row>
    <row r="92" spans="1:7">
      <c r="A92" s="1846">
        <v>87</v>
      </c>
      <c r="B92" s="1897" t="s">
        <v>2282</v>
      </c>
      <c r="C92" s="1893">
        <v>0</v>
      </c>
      <c r="D92" s="1893">
        <v>0</v>
      </c>
      <c r="E92" s="1893">
        <v>0</v>
      </c>
      <c r="F92" s="1893">
        <v>0</v>
      </c>
      <c r="G92" s="1893">
        <v>0</v>
      </c>
    </row>
    <row r="93" spans="1:7" ht="15.75" thickBot="1">
      <c r="A93" s="1850"/>
      <c r="B93" s="1850"/>
      <c r="C93" s="1851"/>
      <c r="D93" s="1851"/>
      <c r="E93" s="1851"/>
      <c r="F93" s="1852"/>
      <c r="G93" s="1852"/>
    </row>
    <row r="94" spans="1:7" s="1854" customFormat="1" ht="15.75" thickBot="1">
      <c r="A94" s="2225" t="s">
        <v>9</v>
      </c>
      <c r="B94" s="2226"/>
      <c r="C94" s="1853">
        <f>SUM(C6:C92)</f>
        <v>4804252036</v>
      </c>
      <c r="D94" s="1853">
        <f t="shared" ref="D94:G94" si="0">SUM(D6:D92)</f>
        <v>1101725100</v>
      </c>
      <c r="E94" s="1853">
        <f t="shared" si="0"/>
        <v>862373</v>
      </c>
      <c r="F94" s="1853">
        <f t="shared" si="0"/>
        <v>0</v>
      </c>
      <c r="G94" s="1853">
        <f t="shared" si="0"/>
        <v>0</v>
      </c>
    </row>
    <row r="95" spans="1:7">
      <c r="C95" s="1856"/>
    </row>
    <row r="96" spans="1:7">
      <c r="E96" s="1857"/>
    </row>
    <row r="97" spans="3:5">
      <c r="E97" s="1856"/>
    </row>
    <row r="98" spans="3:5">
      <c r="C98" s="1856"/>
      <c r="E98" s="1856"/>
    </row>
    <row r="99" spans="3:5">
      <c r="E99" s="1856"/>
    </row>
    <row r="100" spans="3:5">
      <c r="C100" s="1856"/>
      <c r="E100" s="1856"/>
    </row>
  </sheetData>
  <mergeCells count="4">
    <mergeCell ref="A1:E1"/>
    <mergeCell ref="A2:E2"/>
    <mergeCell ref="A3:E3"/>
    <mergeCell ref="A94:B94"/>
  </mergeCells>
  <pageMargins left="1.1299999999999999" right="0.70866141732283472" top="0.74803149606299213" bottom="0.74803149606299213" header="0.31496062992125984" footer="0.31496062992125984"/>
  <pageSetup scale="70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>
  <sheetPr>
    <tabColor rgb="FF00B0F0"/>
  </sheetPr>
  <dimension ref="A1:F98"/>
  <sheetViews>
    <sheetView workbookViewId="0">
      <selection activeCell="A53" sqref="A53:F53"/>
    </sheetView>
  </sheetViews>
  <sheetFormatPr defaultColWidth="8.85546875" defaultRowHeight="15"/>
  <cols>
    <col min="1" max="1" width="3.42578125" style="30" customWidth="1"/>
    <col min="2" max="2" width="34.42578125" style="30" customWidth="1"/>
    <col min="3" max="3" width="16.7109375" style="2" customWidth="1"/>
    <col min="4" max="4" width="16.5703125" style="2" customWidth="1"/>
    <col min="5" max="5" width="16.7109375" style="2" customWidth="1"/>
    <col min="6" max="6" width="13.28515625" style="2" customWidth="1"/>
    <col min="7" max="16384" width="8.85546875" style="2"/>
  </cols>
  <sheetData>
    <row r="1" spans="1:6">
      <c r="A1" s="1954" t="s">
        <v>0</v>
      </c>
      <c r="B1" s="1954"/>
      <c r="C1" s="1954"/>
      <c r="D1" s="1954"/>
      <c r="E1" s="1954"/>
    </row>
    <row r="2" spans="1:6">
      <c r="A2" s="1954" t="s">
        <v>2371</v>
      </c>
      <c r="B2" s="1954"/>
      <c r="C2" s="1954"/>
      <c r="D2" s="1954"/>
      <c r="E2" s="1954"/>
    </row>
    <row r="3" spans="1:6">
      <c r="A3" s="1954" t="s">
        <v>2</v>
      </c>
      <c r="B3" s="1954"/>
      <c r="C3" s="1954"/>
      <c r="D3" s="1954"/>
      <c r="E3" s="1954"/>
    </row>
    <row r="4" spans="1:6">
      <c r="F4" s="7" t="s">
        <v>2162</v>
      </c>
    </row>
    <row r="5" spans="1:6" ht="45">
      <c r="A5" s="31" t="s">
        <v>1546</v>
      </c>
      <c r="B5" s="31" t="s">
        <v>2193</v>
      </c>
      <c r="C5" s="9" t="s">
        <v>2372</v>
      </c>
      <c r="D5" s="9" t="s">
        <v>2373</v>
      </c>
      <c r="E5" s="9" t="s">
        <v>2374</v>
      </c>
      <c r="F5" s="32" t="s">
        <v>2375</v>
      </c>
    </row>
    <row r="6" spans="1:6">
      <c r="A6" s="33">
        <v>1</v>
      </c>
      <c r="B6" s="34" t="s">
        <v>2196</v>
      </c>
      <c r="C6" s="35">
        <v>247840000</v>
      </c>
      <c r="D6" s="35"/>
      <c r="E6" s="35">
        <v>64582000</v>
      </c>
      <c r="F6" s="35"/>
    </row>
    <row r="7" spans="1:6">
      <c r="A7" s="33">
        <v>2</v>
      </c>
      <c r="B7" s="34" t="s">
        <v>2197</v>
      </c>
      <c r="C7" s="35">
        <v>47980000</v>
      </c>
      <c r="D7" s="35">
        <v>22594000</v>
      </c>
      <c r="E7" s="35"/>
      <c r="F7" s="35"/>
    </row>
    <row r="8" spans="1:6">
      <c r="A8" s="33">
        <v>3</v>
      </c>
      <c r="B8" s="34" t="s">
        <v>2198</v>
      </c>
      <c r="C8" s="35">
        <v>43560000</v>
      </c>
      <c r="D8" s="35">
        <v>172098000</v>
      </c>
      <c r="E8" s="35"/>
      <c r="F8" s="35"/>
    </row>
    <row r="9" spans="1:6">
      <c r="A9" s="33">
        <v>4</v>
      </c>
      <c r="B9" s="34" t="s">
        <v>2199</v>
      </c>
      <c r="C9" s="35">
        <v>358971500</v>
      </c>
      <c r="D9" s="35">
        <f>102711000-9700000</f>
        <v>93011000</v>
      </c>
      <c r="E9" s="35"/>
      <c r="F9" s="35"/>
    </row>
    <row r="10" spans="1:6">
      <c r="A10" s="33">
        <v>5</v>
      </c>
      <c r="B10" s="34" t="s">
        <v>2200</v>
      </c>
      <c r="C10" s="35">
        <v>155850000</v>
      </c>
      <c r="D10" s="35">
        <v>239843400</v>
      </c>
      <c r="E10" s="35"/>
      <c r="F10" s="35"/>
    </row>
    <row r="11" spans="1:6">
      <c r="A11" s="33">
        <v>6</v>
      </c>
      <c r="B11" s="34" t="s">
        <v>2201</v>
      </c>
      <c r="C11" s="35">
        <v>16250000</v>
      </c>
      <c r="D11" s="35">
        <f>174974850-5750000</f>
        <v>169224850</v>
      </c>
      <c r="E11" s="35"/>
      <c r="F11" s="35"/>
    </row>
    <row r="12" spans="1:6">
      <c r="A12" s="33">
        <v>7</v>
      </c>
      <c r="B12" s="34" t="s">
        <v>2202</v>
      </c>
      <c r="C12" s="35">
        <v>36000000</v>
      </c>
      <c r="D12" s="35">
        <v>52955000</v>
      </c>
      <c r="E12" s="35">
        <f>11900000-[7]PAJE!$G$77</f>
        <v>0</v>
      </c>
      <c r="F12" s="35"/>
    </row>
    <row r="13" spans="1:6">
      <c r="A13" s="33">
        <v>8</v>
      </c>
      <c r="B13" s="34" t="s">
        <v>2203</v>
      </c>
      <c r="C13" s="35">
        <v>0</v>
      </c>
      <c r="D13" s="35">
        <v>184261000</v>
      </c>
      <c r="E13" s="35">
        <v>19736000</v>
      </c>
      <c r="F13" s="35"/>
    </row>
    <row r="14" spans="1:6">
      <c r="A14" s="33">
        <v>9</v>
      </c>
      <c r="B14" s="34" t="s">
        <v>2204</v>
      </c>
      <c r="C14" s="35">
        <v>202820000</v>
      </c>
      <c r="D14" s="35">
        <v>66513800</v>
      </c>
      <c r="E14" s="35">
        <f>96797500-[7]PAJE!$G$110</f>
        <v>64820</v>
      </c>
      <c r="F14" s="35"/>
    </row>
    <row r="15" spans="1:6">
      <c r="A15" s="33">
        <v>10</v>
      </c>
      <c r="B15" s="34" t="s">
        <v>2205</v>
      </c>
      <c r="C15" s="35">
        <v>10800000</v>
      </c>
      <c r="D15" s="35">
        <v>54590000</v>
      </c>
      <c r="E15" s="35">
        <v>5200000</v>
      </c>
      <c r="F15" s="35"/>
    </row>
    <row r="16" spans="1:6">
      <c r="A16" s="33">
        <v>11</v>
      </c>
      <c r="B16" s="34" t="s">
        <v>2206</v>
      </c>
      <c r="C16" s="35">
        <v>52790000</v>
      </c>
      <c r="D16" s="35">
        <v>17860000</v>
      </c>
      <c r="E16" s="35">
        <v>94572500</v>
      </c>
      <c r="F16" s="35"/>
    </row>
    <row r="17" spans="1:6">
      <c r="A17" s="33">
        <v>12</v>
      </c>
      <c r="B17" s="34" t="s">
        <v>2207</v>
      </c>
      <c r="C17" s="35">
        <v>151510000</v>
      </c>
      <c r="D17" s="35">
        <v>15766000</v>
      </c>
      <c r="E17" s="35">
        <v>2524000</v>
      </c>
      <c r="F17" s="35"/>
    </row>
    <row r="18" spans="1:6">
      <c r="A18" s="33">
        <v>13</v>
      </c>
      <c r="B18" s="34" t="s">
        <v>2208</v>
      </c>
      <c r="C18" s="35">
        <v>157150000</v>
      </c>
      <c r="D18" s="35">
        <v>31669000</v>
      </c>
      <c r="E18" s="35"/>
      <c r="F18" s="35"/>
    </row>
    <row r="19" spans="1:6">
      <c r="A19" s="33">
        <v>14</v>
      </c>
      <c r="B19" s="34" t="s">
        <v>2209</v>
      </c>
      <c r="C19" s="35">
        <v>104760000</v>
      </c>
      <c r="D19" s="35">
        <v>21566500</v>
      </c>
      <c r="E19" s="35">
        <v>23210400</v>
      </c>
      <c r="F19" s="35"/>
    </row>
    <row r="20" spans="1:6">
      <c r="A20" s="33">
        <v>15</v>
      </c>
      <c r="B20" s="34" t="s">
        <v>2210</v>
      </c>
      <c r="C20" s="35">
        <v>121200000</v>
      </c>
      <c r="D20" s="35">
        <v>180855000</v>
      </c>
      <c r="E20" s="35"/>
      <c r="F20" s="35"/>
    </row>
    <row r="21" spans="1:6">
      <c r="A21" s="33">
        <v>16</v>
      </c>
      <c r="B21" s="34" t="s">
        <v>2211</v>
      </c>
      <c r="C21" s="35">
        <v>0</v>
      </c>
      <c r="D21" s="35">
        <v>159183000</v>
      </c>
      <c r="E21" s="35"/>
      <c r="F21" s="35"/>
    </row>
    <row r="22" spans="1:6">
      <c r="A22" s="33">
        <v>17</v>
      </c>
      <c r="B22" s="34" t="s">
        <v>2212</v>
      </c>
      <c r="C22" s="35">
        <v>65680000</v>
      </c>
      <c r="D22" s="35">
        <v>33882000</v>
      </c>
      <c r="E22" s="35"/>
      <c r="F22" s="35"/>
    </row>
    <row r="23" spans="1:6">
      <c r="A23" s="33">
        <v>18</v>
      </c>
      <c r="B23" s="34" t="s">
        <v>2213</v>
      </c>
      <c r="C23" s="35">
        <v>110350000</v>
      </c>
      <c r="D23" s="35">
        <v>86031000</v>
      </c>
      <c r="E23" s="35"/>
      <c r="F23" s="35"/>
    </row>
    <row r="24" spans="1:6">
      <c r="A24" s="33">
        <v>19</v>
      </c>
      <c r="B24" s="34" t="s">
        <v>2214</v>
      </c>
      <c r="C24" s="35">
        <v>1764000</v>
      </c>
      <c r="D24" s="35">
        <v>149246000</v>
      </c>
      <c r="E24" s="35"/>
      <c r="F24" s="35"/>
    </row>
    <row r="25" spans="1:6">
      <c r="A25" s="33">
        <v>20</v>
      </c>
      <c r="B25" s="34" t="s">
        <v>2215</v>
      </c>
      <c r="C25" s="35">
        <v>1441000</v>
      </c>
      <c r="D25" s="35">
        <f>152109000-10201000</f>
        <v>141908000</v>
      </c>
      <c r="E25" s="35"/>
      <c r="F25" s="35"/>
    </row>
    <row r="26" spans="1:6">
      <c r="A26" s="33">
        <v>21</v>
      </c>
      <c r="B26" s="34" t="s">
        <v>2216</v>
      </c>
      <c r="C26" s="35">
        <v>137100000</v>
      </c>
      <c r="D26" s="35">
        <v>132743000</v>
      </c>
      <c r="E26" s="35"/>
      <c r="F26" s="35"/>
    </row>
    <row r="27" spans="1:6">
      <c r="A27" s="33">
        <v>22</v>
      </c>
      <c r="B27" s="34" t="s">
        <v>2217</v>
      </c>
      <c r="C27" s="35">
        <v>167625800</v>
      </c>
      <c r="D27" s="35">
        <v>0</v>
      </c>
      <c r="E27" s="35"/>
      <c r="F27" s="35"/>
    </row>
    <row r="28" spans="1:6">
      <c r="A28" s="33">
        <v>23</v>
      </c>
      <c r="B28" s="34" t="s">
        <v>2218</v>
      </c>
      <c r="C28" s="35">
        <v>70050000</v>
      </c>
      <c r="D28" s="35">
        <v>148268000</v>
      </c>
      <c r="E28" s="35">
        <v>31100000</v>
      </c>
      <c r="F28" s="35">
        <v>113305</v>
      </c>
    </row>
    <row r="29" spans="1:6">
      <c r="A29" s="33">
        <v>24</v>
      </c>
      <c r="B29" s="34" t="s">
        <v>2219</v>
      </c>
      <c r="C29" s="35">
        <v>72635000</v>
      </c>
      <c r="D29" s="35">
        <v>14168500</v>
      </c>
      <c r="E29" s="35">
        <v>9725000</v>
      </c>
      <c r="F29" s="35"/>
    </row>
    <row r="30" spans="1:6">
      <c r="A30" s="33">
        <v>25</v>
      </c>
      <c r="B30" s="34" t="s">
        <v>2220</v>
      </c>
      <c r="C30" s="35"/>
      <c r="D30" s="35">
        <v>173210000</v>
      </c>
      <c r="E30" s="35"/>
      <c r="F30" s="35"/>
    </row>
    <row r="31" spans="1:6">
      <c r="A31" s="33">
        <v>26</v>
      </c>
      <c r="B31" s="34" t="s">
        <v>2221</v>
      </c>
      <c r="C31" s="35">
        <v>66900000</v>
      </c>
      <c r="D31" s="35">
        <v>73089650</v>
      </c>
      <c r="E31" s="35"/>
      <c r="F31" s="35"/>
    </row>
    <row r="32" spans="1:6">
      <c r="A32" s="33">
        <v>27</v>
      </c>
      <c r="B32" s="34" t="s">
        <v>2222</v>
      </c>
      <c r="C32" s="35">
        <v>49200000</v>
      </c>
      <c r="D32" s="35">
        <v>20928000</v>
      </c>
      <c r="E32" s="35"/>
      <c r="F32" s="35"/>
    </row>
    <row r="33" spans="1:6">
      <c r="A33" s="33">
        <v>28</v>
      </c>
      <c r="B33" s="34" t="s">
        <v>2223</v>
      </c>
      <c r="C33" s="35">
        <v>31200000</v>
      </c>
      <c r="D33" s="35">
        <v>108300000</v>
      </c>
      <c r="E33" s="35"/>
      <c r="F33" s="35"/>
    </row>
    <row r="34" spans="1:6">
      <c r="A34" s="33">
        <v>29</v>
      </c>
      <c r="B34" s="34" t="s">
        <v>2224</v>
      </c>
      <c r="C34" s="35"/>
      <c r="D34" s="35"/>
      <c r="E34" s="35"/>
      <c r="F34" s="35"/>
    </row>
    <row r="35" spans="1:6">
      <c r="A35" s="33">
        <v>30</v>
      </c>
      <c r="B35" s="34" t="s">
        <v>2225</v>
      </c>
      <c r="C35" s="35"/>
      <c r="D35" s="35"/>
      <c r="E35" s="35"/>
      <c r="F35" s="35"/>
    </row>
    <row r="36" spans="1:6">
      <c r="A36" s="33">
        <v>31</v>
      </c>
      <c r="B36" s="34" t="s">
        <v>2226</v>
      </c>
      <c r="C36" s="35"/>
      <c r="D36" s="35">
        <v>71400000</v>
      </c>
      <c r="E36" s="35"/>
      <c r="F36" s="35"/>
    </row>
    <row r="37" spans="1:6">
      <c r="A37" s="33">
        <v>32</v>
      </c>
      <c r="B37" s="34" t="s">
        <v>2227</v>
      </c>
      <c r="C37" s="35"/>
      <c r="D37" s="35"/>
      <c r="E37" s="35"/>
      <c r="F37" s="35"/>
    </row>
    <row r="38" spans="1:6">
      <c r="A38" s="33">
        <v>33</v>
      </c>
      <c r="B38" s="34" t="s">
        <v>2228</v>
      </c>
      <c r="C38" s="35">
        <v>23760000</v>
      </c>
      <c r="D38" s="35">
        <v>63100000</v>
      </c>
      <c r="E38" s="35">
        <v>16820000</v>
      </c>
      <c r="F38" s="35"/>
    </row>
    <row r="39" spans="1:6">
      <c r="A39" s="33">
        <v>34</v>
      </c>
      <c r="B39" s="34" t="s">
        <v>2229</v>
      </c>
      <c r="C39" s="35">
        <v>142639200</v>
      </c>
      <c r="D39" s="35">
        <v>155541350</v>
      </c>
      <c r="E39" s="35">
        <v>5000000</v>
      </c>
      <c r="F39" s="35"/>
    </row>
    <row r="40" spans="1:6">
      <c r="A40" s="33">
        <v>35</v>
      </c>
      <c r="B40" s="34" t="s">
        <v>2230</v>
      </c>
      <c r="C40" s="35"/>
      <c r="D40" s="35"/>
      <c r="E40" s="35"/>
      <c r="F40" s="35"/>
    </row>
    <row r="41" spans="1:6">
      <c r="A41" s="33">
        <v>36</v>
      </c>
      <c r="B41" s="34" t="s">
        <v>2231</v>
      </c>
      <c r="C41" s="35">
        <v>45040000</v>
      </c>
      <c r="D41" s="35">
        <v>146184637</v>
      </c>
      <c r="E41" s="35">
        <v>58745000</v>
      </c>
      <c r="F41" s="35"/>
    </row>
    <row r="42" spans="1:6">
      <c r="A42" s="33">
        <v>37</v>
      </c>
      <c r="B42" s="34" t="s">
        <v>2232</v>
      </c>
      <c r="C42" s="35">
        <v>78500000</v>
      </c>
      <c r="D42" s="35">
        <v>2034000</v>
      </c>
      <c r="E42" s="35">
        <v>193790000</v>
      </c>
      <c r="F42" s="35">
        <v>83299</v>
      </c>
    </row>
    <row r="43" spans="1:6">
      <c r="A43" s="33">
        <v>38</v>
      </c>
      <c r="B43" s="34" t="s">
        <v>2233</v>
      </c>
      <c r="C43" s="35">
        <v>78735000</v>
      </c>
      <c r="D43" s="35">
        <f>111836000</f>
        <v>111836000</v>
      </c>
      <c r="E43" s="35">
        <f>12500000-[7]PAJE!$G$41</f>
        <v>-3505500</v>
      </c>
      <c r="F43" s="35"/>
    </row>
    <row r="44" spans="1:6">
      <c r="A44" s="33">
        <v>39</v>
      </c>
      <c r="B44" s="34" t="s">
        <v>2234</v>
      </c>
      <c r="C44" s="35">
        <v>36480000</v>
      </c>
      <c r="D44" s="35">
        <v>54760000</v>
      </c>
      <c r="E44" s="35">
        <v>36460000</v>
      </c>
      <c r="F44" s="35"/>
    </row>
    <row r="45" spans="1:6">
      <c r="A45" s="33">
        <v>40</v>
      </c>
      <c r="B45" s="34" t="s">
        <v>2235</v>
      </c>
      <c r="C45" s="35">
        <v>34200000</v>
      </c>
      <c r="D45" s="35">
        <v>73701000</v>
      </c>
      <c r="E45" s="35">
        <v>28800000</v>
      </c>
      <c r="F45" s="35"/>
    </row>
    <row r="46" spans="1:6">
      <c r="A46" s="33">
        <v>41</v>
      </c>
      <c r="B46" s="34" t="s">
        <v>2236</v>
      </c>
      <c r="C46" s="35">
        <v>252219000</v>
      </c>
      <c r="D46" s="35">
        <v>226812000</v>
      </c>
      <c r="E46" s="35"/>
      <c r="F46" s="35"/>
    </row>
    <row r="47" spans="1:6">
      <c r="A47" s="33">
        <v>42</v>
      </c>
      <c r="B47" s="34" t="s">
        <v>2237</v>
      </c>
      <c r="C47" s="35">
        <v>207665000</v>
      </c>
      <c r="D47" s="35">
        <v>12611500</v>
      </c>
      <c r="E47" s="35">
        <v>108921650</v>
      </c>
      <c r="F47" s="35"/>
    </row>
    <row r="48" spans="1:6">
      <c r="A48" s="33">
        <v>43</v>
      </c>
      <c r="B48" s="34" t="s">
        <v>2238</v>
      </c>
      <c r="C48" s="35">
        <v>201910000</v>
      </c>
      <c r="D48" s="35">
        <v>102682600</v>
      </c>
      <c r="E48" s="35"/>
      <c r="F48" s="35"/>
    </row>
    <row r="49" spans="1:6">
      <c r="A49" s="33">
        <v>44</v>
      </c>
      <c r="B49" s="34" t="s">
        <v>2239</v>
      </c>
      <c r="C49" s="35">
        <v>256455000</v>
      </c>
      <c r="D49" s="35">
        <v>69753000</v>
      </c>
      <c r="E49" s="35"/>
      <c r="F49" s="35"/>
    </row>
    <row r="50" spans="1:6">
      <c r="A50" s="33">
        <v>45</v>
      </c>
      <c r="B50" s="34" t="s">
        <v>2240</v>
      </c>
      <c r="C50" s="35"/>
      <c r="D50" s="35">
        <v>57042000</v>
      </c>
      <c r="E50" s="35"/>
      <c r="F50" s="35"/>
    </row>
    <row r="51" spans="1:6">
      <c r="A51" s="33">
        <v>46</v>
      </c>
      <c r="B51" s="34" t="s">
        <v>2241</v>
      </c>
      <c r="C51" s="35">
        <v>102600000</v>
      </c>
      <c r="D51" s="35">
        <v>22620000</v>
      </c>
      <c r="E51" s="35"/>
      <c r="F51" s="35"/>
    </row>
    <row r="52" spans="1:6">
      <c r="A52" s="33">
        <v>47</v>
      </c>
      <c r="B52" s="34" t="s">
        <v>2242</v>
      </c>
      <c r="C52" s="35">
        <v>188665000</v>
      </c>
      <c r="D52" s="35">
        <f>351779000-59400000</f>
        <v>292379000</v>
      </c>
      <c r="E52" s="35">
        <v>48500000</v>
      </c>
      <c r="F52" s="35"/>
    </row>
    <row r="53" spans="1:6" ht="15.75" thickBot="1">
      <c r="A53" s="1917">
        <v>48</v>
      </c>
      <c r="B53" s="1918" t="s">
        <v>2243</v>
      </c>
      <c r="C53" s="1919">
        <v>68100000</v>
      </c>
      <c r="D53" s="1919">
        <v>5460000</v>
      </c>
      <c r="E53" s="1919">
        <v>25255000</v>
      </c>
      <c r="F53" s="1919"/>
    </row>
    <row r="54" spans="1:6">
      <c r="A54" s="1914">
        <v>49</v>
      </c>
      <c r="B54" s="1915" t="s">
        <v>2244</v>
      </c>
      <c r="C54" s="1916">
        <v>127440000</v>
      </c>
      <c r="D54" s="1916">
        <v>30342000</v>
      </c>
      <c r="E54" s="1916"/>
      <c r="F54" s="1916"/>
    </row>
    <row r="55" spans="1:6">
      <c r="A55" s="33">
        <v>50</v>
      </c>
      <c r="B55" s="34" t="s">
        <v>2245</v>
      </c>
      <c r="C55" s="35"/>
      <c r="D55" s="35">
        <v>146267650</v>
      </c>
      <c r="E55" s="35"/>
      <c r="F55" s="35"/>
    </row>
    <row r="56" spans="1:6">
      <c r="A56" s="33">
        <v>51</v>
      </c>
      <c r="B56" s="34" t="s">
        <v>2246</v>
      </c>
      <c r="C56" s="35">
        <v>134000000</v>
      </c>
      <c r="D56" s="35">
        <v>113039162</v>
      </c>
      <c r="E56" s="35"/>
      <c r="F56" s="35">
        <v>101702</v>
      </c>
    </row>
    <row r="57" spans="1:6">
      <c r="A57" s="33">
        <v>52</v>
      </c>
      <c r="B57" s="34" t="s">
        <v>2247</v>
      </c>
      <c r="C57" s="35">
        <v>11760000</v>
      </c>
      <c r="D57" s="35">
        <v>275084000</v>
      </c>
      <c r="E57" s="35"/>
      <c r="F57" s="35"/>
    </row>
    <row r="58" spans="1:6">
      <c r="A58" s="33">
        <v>53</v>
      </c>
      <c r="B58" s="34" t="s">
        <v>2248</v>
      </c>
      <c r="C58" s="35">
        <v>180396000</v>
      </c>
      <c r="D58" s="35">
        <v>39352000</v>
      </c>
      <c r="E58" s="35">
        <v>43675000</v>
      </c>
      <c r="F58" s="35"/>
    </row>
    <row r="59" spans="1:6">
      <c r="A59" s="33">
        <v>54</v>
      </c>
      <c r="B59" s="34" t="s">
        <v>2249</v>
      </c>
      <c r="C59" s="35">
        <v>55525000</v>
      </c>
      <c r="D59" s="35">
        <v>7876000</v>
      </c>
      <c r="E59" s="35">
        <v>6404000</v>
      </c>
      <c r="F59" s="35">
        <v>82500</v>
      </c>
    </row>
    <row r="60" spans="1:6">
      <c r="A60" s="33">
        <v>55</v>
      </c>
      <c r="B60" s="34" t="s">
        <v>2250</v>
      </c>
      <c r="C60" s="35">
        <v>10000000</v>
      </c>
      <c r="D60" s="35">
        <v>151440000</v>
      </c>
      <c r="E60" s="35">
        <v>55679000</v>
      </c>
      <c r="F60" s="35"/>
    </row>
    <row r="61" spans="1:6">
      <c r="A61" s="33">
        <v>56</v>
      </c>
      <c r="B61" s="34" t="s">
        <v>2251</v>
      </c>
      <c r="C61" s="35">
        <v>301680000</v>
      </c>
      <c r="D61" s="35">
        <f>101896000-2000000</f>
        <v>99896000</v>
      </c>
      <c r="E61" s="35"/>
      <c r="F61" s="35"/>
    </row>
    <row r="62" spans="1:6">
      <c r="A62" s="33">
        <v>57</v>
      </c>
      <c r="B62" s="34" t="s">
        <v>2252</v>
      </c>
      <c r="C62" s="35">
        <v>320228000</v>
      </c>
      <c r="D62" s="35"/>
      <c r="E62" s="35">
        <v>51094500</v>
      </c>
      <c r="F62" s="35"/>
    </row>
    <row r="63" spans="1:6">
      <c r="A63" s="33">
        <v>58</v>
      </c>
      <c r="B63" s="34" t="s">
        <v>2253</v>
      </c>
      <c r="C63" s="35"/>
      <c r="D63" s="35">
        <v>123110000</v>
      </c>
      <c r="E63" s="35"/>
      <c r="F63" s="35"/>
    </row>
    <row r="64" spans="1:6">
      <c r="A64" s="33">
        <v>59</v>
      </c>
      <c r="B64" s="34" t="s">
        <v>2254</v>
      </c>
      <c r="C64" s="35">
        <v>191350000</v>
      </c>
      <c r="D64" s="35">
        <v>8295000</v>
      </c>
      <c r="E64" s="35">
        <v>61190000</v>
      </c>
      <c r="F64" s="35"/>
    </row>
    <row r="65" spans="1:6">
      <c r="A65" s="33">
        <v>60</v>
      </c>
      <c r="B65" s="34" t="s">
        <v>2255</v>
      </c>
      <c r="C65" s="35">
        <v>203229000</v>
      </c>
      <c r="D65" s="35">
        <v>11100000</v>
      </c>
      <c r="E65" s="35"/>
      <c r="F65" s="35"/>
    </row>
    <row r="66" spans="1:6">
      <c r="A66" s="33">
        <v>61</v>
      </c>
      <c r="B66" s="34" t="s">
        <v>2256</v>
      </c>
      <c r="C66" s="35">
        <v>51600000</v>
      </c>
      <c r="D66" s="35"/>
      <c r="E66" s="35"/>
      <c r="F66" s="35"/>
    </row>
    <row r="67" spans="1:6">
      <c r="A67" s="33">
        <v>62</v>
      </c>
      <c r="B67" s="34" t="s">
        <v>2257</v>
      </c>
      <c r="C67" s="35">
        <v>259575000</v>
      </c>
      <c r="D67" s="35">
        <v>121022000</v>
      </c>
      <c r="E67" s="35"/>
      <c r="F67" s="35">
        <v>82330</v>
      </c>
    </row>
    <row r="68" spans="1:6">
      <c r="A68" s="33">
        <v>63</v>
      </c>
      <c r="B68" s="34" t="s">
        <v>2258</v>
      </c>
      <c r="C68" s="35">
        <v>140530000</v>
      </c>
      <c r="D68" s="35">
        <f>58790200-4700000</f>
        <v>54090200</v>
      </c>
      <c r="E68" s="35"/>
      <c r="F68" s="35"/>
    </row>
    <row r="69" spans="1:6">
      <c r="A69" s="33">
        <v>64</v>
      </c>
      <c r="B69" s="34" t="s">
        <v>2259</v>
      </c>
      <c r="C69" s="35">
        <v>74275000</v>
      </c>
      <c r="D69" s="35">
        <v>4100000</v>
      </c>
      <c r="E69" s="35">
        <v>27875000</v>
      </c>
      <c r="F69" s="35"/>
    </row>
    <row r="70" spans="1:6">
      <c r="A70" s="33">
        <v>65</v>
      </c>
      <c r="B70" s="34" t="s">
        <v>2260</v>
      </c>
      <c r="C70" s="35"/>
      <c r="D70" s="35">
        <v>15883000</v>
      </c>
      <c r="E70" s="35"/>
      <c r="F70" s="35"/>
    </row>
    <row r="71" spans="1:6">
      <c r="A71" s="33">
        <v>66</v>
      </c>
      <c r="B71" s="34" t="s">
        <v>2261</v>
      </c>
      <c r="C71" s="35">
        <v>36760000</v>
      </c>
      <c r="D71" s="35">
        <v>142485000</v>
      </c>
      <c r="E71" s="35"/>
      <c r="F71" s="35"/>
    </row>
    <row r="72" spans="1:6">
      <c r="A72" s="33">
        <v>67</v>
      </c>
      <c r="B72" s="34" t="s">
        <v>2262</v>
      </c>
      <c r="C72" s="35">
        <v>7800000</v>
      </c>
      <c r="D72" s="35">
        <v>15240000</v>
      </c>
      <c r="E72" s="35">
        <v>23100000</v>
      </c>
      <c r="F72" s="35"/>
    </row>
    <row r="73" spans="1:6">
      <c r="A73" s="33">
        <v>68</v>
      </c>
      <c r="B73" s="34" t="s">
        <v>2263</v>
      </c>
      <c r="C73" s="35">
        <v>31100000</v>
      </c>
      <c r="D73" s="35"/>
      <c r="E73" s="35"/>
      <c r="F73" s="35"/>
    </row>
    <row r="74" spans="1:6">
      <c r="A74" s="33">
        <v>69</v>
      </c>
      <c r="B74" s="34" t="s">
        <v>2264</v>
      </c>
      <c r="C74" s="35"/>
      <c r="D74" s="35"/>
      <c r="E74" s="35"/>
      <c r="F74" s="35"/>
    </row>
    <row r="75" spans="1:6">
      <c r="A75" s="33">
        <v>70</v>
      </c>
      <c r="B75" s="34" t="s">
        <v>2265</v>
      </c>
      <c r="C75" s="35">
        <v>19300000</v>
      </c>
      <c r="D75" s="35">
        <v>29160000</v>
      </c>
      <c r="E75" s="35">
        <v>1800000</v>
      </c>
      <c r="F75" s="35"/>
    </row>
    <row r="76" spans="1:6">
      <c r="A76" s="33">
        <v>71</v>
      </c>
      <c r="B76" s="34" t="s">
        <v>2266</v>
      </c>
      <c r="C76" s="35">
        <v>71280000</v>
      </c>
      <c r="D76" s="35">
        <f>244456500-28160000</f>
        <v>216296500</v>
      </c>
      <c r="E76" s="35"/>
      <c r="F76" s="35">
        <v>47737</v>
      </c>
    </row>
    <row r="77" spans="1:6">
      <c r="A77" s="33">
        <v>72</v>
      </c>
      <c r="B77" s="34" t="s">
        <v>2267</v>
      </c>
      <c r="C77" s="35">
        <v>161700000</v>
      </c>
      <c r="D77" s="35">
        <v>23746500</v>
      </c>
      <c r="E77" s="35"/>
      <c r="F77" s="35"/>
    </row>
    <row r="78" spans="1:6">
      <c r="A78" s="33">
        <v>73</v>
      </c>
      <c r="B78" s="34" t="s">
        <v>2268</v>
      </c>
      <c r="C78" s="35">
        <v>63800000</v>
      </c>
      <c r="D78" s="35">
        <v>24100000</v>
      </c>
      <c r="E78" s="35"/>
      <c r="F78" s="35"/>
    </row>
    <row r="79" spans="1:6">
      <c r="A79" s="33">
        <v>74</v>
      </c>
      <c r="B79" s="34" t="s">
        <v>2269</v>
      </c>
      <c r="C79" s="35">
        <v>45500000</v>
      </c>
      <c r="D79" s="35">
        <v>217594000</v>
      </c>
      <c r="E79" s="35">
        <v>1900000</v>
      </c>
      <c r="F79" s="35"/>
    </row>
    <row r="80" spans="1:6">
      <c r="A80" s="33">
        <v>75</v>
      </c>
      <c r="B80" s="34" t="s">
        <v>2270</v>
      </c>
      <c r="C80" s="35">
        <v>225050000</v>
      </c>
      <c r="D80" s="35"/>
      <c r="E80" s="35">
        <v>78195000</v>
      </c>
      <c r="F80" s="35"/>
    </row>
    <row r="81" spans="1:6">
      <c r="A81" s="33">
        <v>76</v>
      </c>
      <c r="B81" s="34" t="s">
        <v>2271</v>
      </c>
      <c r="C81" s="35">
        <v>530400000</v>
      </c>
      <c r="D81" s="35">
        <v>280103400</v>
      </c>
      <c r="E81" s="35"/>
      <c r="F81" s="35"/>
    </row>
    <row r="82" spans="1:6">
      <c r="A82" s="33">
        <v>77</v>
      </c>
      <c r="B82" s="34" t="s">
        <v>2272</v>
      </c>
      <c r="C82" s="35">
        <v>210030000</v>
      </c>
      <c r="D82" s="35">
        <v>47384000</v>
      </c>
      <c r="E82" s="35"/>
      <c r="F82" s="35"/>
    </row>
    <row r="83" spans="1:6">
      <c r="A83" s="33">
        <v>78</v>
      </c>
      <c r="B83" s="34" t="s">
        <v>2273</v>
      </c>
      <c r="C83" s="35">
        <v>126300000</v>
      </c>
      <c r="D83" s="35">
        <v>40227000</v>
      </c>
      <c r="E83" s="35"/>
      <c r="F83" s="35"/>
    </row>
    <row r="84" spans="1:6">
      <c r="A84" s="33">
        <v>79</v>
      </c>
      <c r="B84" s="34" t="s">
        <v>2274</v>
      </c>
      <c r="C84" s="35"/>
      <c r="D84" s="35"/>
      <c r="E84" s="35"/>
      <c r="F84" s="35"/>
    </row>
    <row r="85" spans="1:6">
      <c r="A85" s="33">
        <v>80</v>
      </c>
      <c r="B85" s="34" t="s">
        <v>2275</v>
      </c>
      <c r="C85" s="35">
        <v>16800000</v>
      </c>
      <c r="D85" s="35">
        <v>891000</v>
      </c>
      <c r="E85" s="35"/>
      <c r="F85" s="35"/>
    </row>
    <row r="86" spans="1:6">
      <c r="A86" s="33">
        <v>81</v>
      </c>
      <c r="B86" s="34" t="s">
        <v>2276</v>
      </c>
      <c r="C86" s="35"/>
      <c r="D86" s="35"/>
      <c r="E86" s="35"/>
      <c r="F86" s="35"/>
    </row>
    <row r="87" spans="1:6">
      <c r="A87" s="33">
        <v>82</v>
      </c>
      <c r="B87" s="34" t="s">
        <v>2277</v>
      </c>
      <c r="C87" s="35"/>
      <c r="D87" s="35"/>
      <c r="E87" s="35"/>
      <c r="F87" s="35"/>
    </row>
    <row r="88" spans="1:6">
      <c r="A88" s="33">
        <v>83</v>
      </c>
      <c r="B88" s="34" t="s">
        <v>2278</v>
      </c>
      <c r="C88" s="35"/>
      <c r="D88" s="35"/>
      <c r="E88" s="35"/>
      <c r="F88" s="35"/>
    </row>
    <row r="89" spans="1:6">
      <c r="A89" s="33">
        <v>84</v>
      </c>
      <c r="B89" s="34" t="s">
        <v>2279</v>
      </c>
      <c r="C89" s="35"/>
      <c r="D89" s="35"/>
      <c r="E89" s="35"/>
      <c r="F89" s="35"/>
    </row>
    <row r="90" spans="1:6">
      <c r="A90" s="33">
        <v>85</v>
      </c>
      <c r="B90" s="34" t="s">
        <v>2280</v>
      </c>
      <c r="C90" s="35"/>
      <c r="D90" s="35"/>
      <c r="E90" s="35"/>
      <c r="F90" s="35"/>
    </row>
    <row r="91" spans="1:6">
      <c r="A91" s="33">
        <v>86</v>
      </c>
      <c r="B91" s="34" t="s">
        <v>2281</v>
      </c>
      <c r="C91" s="35">
        <v>4718000</v>
      </c>
      <c r="D91" s="35">
        <v>4377000</v>
      </c>
      <c r="E91" s="35">
        <v>8305000</v>
      </c>
      <c r="F91" s="35"/>
    </row>
    <row r="92" spans="1:6">
      <c r="A92" s="36">
        <v>87</v>
      </c>
      <c r="B92" s="36" t="s">
        <v>2282</v>
      </c>
      <c r="C92" s="35"/>
      <c r="D92" s="35"/>
      <c r="E92" s="35"/>
      <c r="F92" s="35"/>
    </row>
    <row r="93" spans="1:6">
      <c r="A93" s="37"/>
      <c r="B93" s="37"/>
      <c r="C93" s="38"/>
      <c r="D93" s="38"/>
      <c r="E93" s="38"/>
      <c r="F93" s="38"/>
    </row>
    <row r="94" spans="1:6" s="29" customFormat="1">
      <c r="A94" s="2227" t="s">
        <v>9</v>
      </c>
      <c r="B94" s="2228"/>
      <c r="C94" s="39">
        <f t="shared" ref="C94:F94" si="0">SUM(C6:C92)</f>
        <v>7810521500</v>
      </c>
      <c r="D94" s="39">
        <f t="shared" si="0"/>
        <v>6274183199</v>
      </c>
      <c r="E94" s="39">
        <f t="shared" si="0"/>
        <v>1128718370</v>
      </c>
      <c r="F94" s="39">
        <f t="shared" si="0"/>
        <v>510873</v>
      </c>
    </row>
    <row r="96" spans="1:6">
      <c r="D96" s="40"/>
    </row>
    <row r="98" spans="4:4">
      <c r="D98" s="41"/>
    </row>
  </sheetData>
  <mergeCells count="4">
    <mergeCell ref="A1:E1"/>
    <mergeCell ref="A2:E2"/>
    <mergeCell ref="A3:E3"/>
    <mergeCell ref="A94:B94"/>
  </mergeCells>
  <pageMargins left="1" right="0.70866141732283472" top="0.74803149606299213" bottom="0.74803149606299213" header="0.31496062992125984" footer="0.31496062992125984"/>
  <pageSetup scale="85" orientation="portrait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>
  <sheetPr>
    <tabColor rgb="FF00B0F0"/>
  </sheetPr>
  <dimension ref="A1:F99"/>
  <sheetViews>
    <sheetView topLeftCell="A55" workbookViewId="0">
      <selection activeCell="F58" sqref="F58"/>
    </sheetView>
  </sheetViews>
  <sheetFormatPr defaultColWidth="8.85546875" defaultRowHeight="15"/>
  <cols>
    <col min="1" max="1" width="3.42578125" style="4" customWidth="1"/>
    <col min="2" max="2" width="35.5703125" style="5" customWidth="1"/>
    <col min="3" max="3" width="16.85546875" style="6" bestFit="1" customWidth="1"/>
    <col min="4" max="4" width="16.85546875" style="5" bestFit="1" customWidth="1"/>
    <col min="5" max="5" width="16.7109375" style="5" customWidth="1"/>
    <col min="6" max="16384" width="8.85546875" style="5"/>
  </cols>
  <sheetData>
    <row r="1" spans="1:5">
      <c r="A1" s="1954" t="s">
        <v>0</v>
      </c>
      <c r="B1" s="1954"/>
      <c r="C1" s="1954"/>
      <c r="D1" s="1954"/>
      <c r="E1" s="1954"/>
    </row>
    <row r="2" spans="1:5">
      <c r="A2" s="1954" t="s">
        <v>2376</v>
      </c>
      <c r="B2" s="1954"/>
      <c r="C2" s="1954"/>
      <c r="D2" s="1954"/>
      <c r="E2" s="1954"/>
    </row>
    <row r="3" spans="1:5">
      <c r="A3" s="1954" t="s">
        <v>2</v>
      </c>
      <c r="B3" s="1954"/>
      <c r="C3" s="1954"/>
      <c r="D3" s="1954"/>
      <c r="E3" s="1954"/>
    </row>
    <row r="5" spans="1:5">
      <c r="E5" s="23" t="s">
        <v>2377</v>
      </c>
    </row>
    <row r="6" spans="1:5">
      <c r="A6" s="2231" t="s">
        <v>1546</v>
      </c>
      <c r="B6" s="2231" t="s">
        <v>2193</v>
      </c>
      <c r="C6" s="2215" t="s">
        <v>2378</v>
      </c>
      <c r="D6" s="2229"/>
      <c r="E6" s="2230"/>
    </row>
    <row r="7" spans="1:5" s="21" customFormat="1">
      <c r="A7" s="2231"/>
      <c r="B7" s="2231"/>
      <c r="C7" s="9" t="s">
        <v>2379</v>
      </c>
      <c r="D7" s="9" t="s">
        <v>2380</v>
      </c>
      <c r="E7" s="9" t="s">
        <v>197</v>
      </c>
    </row>
    <row r="8" spans="1:5">
      <c r="A8" s="25">
        <v>1</v>
      </c>
      <c r="B8" s="11" t="s">
        <v>2287</v>
      </c>
      <c r="C8" s="26">
        <v>1640020</v>
      </c>
      <c r="D8" s="26">
        <v>158999928</v>
      </c>
      <c r="E8" s="26">
        <f>SUM(C8:D8)</f>
        <v>160639948</v>
      </c>
    </row>
    <row r="9" spans="1:5">
      <c r="A9" s="25">
        <v>2</v>
      </c>
      <c r="B9" s="11" t="s">
        <v>2288</v>
      </c>
      <c r="C9" s="26">
        <v>7144865</v>
      </c>
      <c r="D9" s="26">
        <v>0</v>
      </c>
      <c r="E9" s="26">
        <f t="shared" ref="E9:E72" si="0">SUM(C9:D9)</f>
        <v>7144865</v>
      </c>
    </row>
    <row r="10" spans="1:5">
      <c r="A10" s="25">
        <v>3</v>
      </c>
      <c r="B10" s="11" t="s">
        <v>2289</v>
      </c>
      <c r="C10" s="26">
        <v>128870850</v>
      </c>
      <c r="D10" s="26">
        <v>0</v>
      </c>
      <c r="E10" s="26">
        <f t="shared" si="0"/>
        <v>128870850</v>
      </c>
    </row>
    <row r="11" spans="1:5">
      <c r="A11" s="25">
        <v>4</v>
      </c>
      <c r="B11" s="11" t="s">
        <v>2290</v>
      </c>
      <c r="C11" s="26">
        <v>45348</v>
      </c>
      <c r="D11" s="26">
        <v>39230</v>
      </c>
      <c r="E11" s="26">
        <f t="shared" si="0"/>
        <v>84578</v>
      </c>
    </row>
    <row r="12" spans="1:5">
      <c r="A12" s="25">
        <v>5</v>
      </c>
      <c r="B12" s="11" t="s">
        <v>2291</v>
      </c>
      <c r="C12" s="26">
        <v>688184825</v>
      </c>
      <c r="D12" s="26">
        <v>19521</v>
      </c>
      <c r="E12" s="26">
        <f t="shared" si="0"/>
        <v>688204346</v>
      </c>
    </row>
    <row r="13" spans="1:5">
      <c r="A13" s="25">
        <v>6</v>
      </c>
      <c r="B13" s="11" t="s">
        <v>2292</v>
      </c>
      <c r="C13" s="26">
        <v>558742091</v>
      </c>
      <c r="D13" s="26">
        <v>100010</v>
      </c>
      <c r="E13" s="26">
        <f t="shared" si="0"/>
        <v>558842101</v>
      </c>
    </row>
    <row r="14" spans="1:5">
      <c r="A14" s="25">
        <v>7</v>
      </c>
      <c r="B14" s="11" t="s">
        <v>2293</v>
      </c>
      <c r="C14" s="26">
        <v>109338244</v>
      </c>
      <c r="D14" s="26">
        <v>3078877</v>
      </c>
      <c r="E14" s="26">
        <f t="shared" si="0"/>
        <v>112417121</v>
      </c>
    </row>
    <row r="15" spans="1:5">
      <c r="A15" s="25">
        <v>8</v>
      </c>
      <c r="B15" s="11" t="s">
        <v>2294</v>
      </c>
      <c r="C15" s="26">
        <v>83548343</v>
      </c>
      <c r="D15" s="26">
        <v>0</v>
      </c>
      <c r="E15" s="26">
        <f t="shared" si="0"/>
        <v>83548343</v>
      </c>
    </row>
    <row r="16" spans="1:5">
      <c r="A16" s="25">
        <v>9</v>
      </c>
      <c r="B16" s="11" t="s">
        <v>2273</v>
      </c>
      <c r="C16" s="26">
        <v>1034160</v>
      </c>
      <c r="D16" s="26">
        <v>9399953</v>
      </c>
      <c r="E16" s="26">
        <f t="shared" si="0"/>
        <v>10434113</v>
      </c>
    </row>
    <row r="17" spans="1:5">
      <c r="A17" s="25">
        <v>10</v>
      </c>
      <c r="B17" s="11" t="s">
        <v>2295</v>
      </c>
      <c r="C17" s="26">
        <v>127982</v>
      </c>
      <c r="D17" s="26">
        <v>0</v>
      </c>
      <c r="E17" s="26">
        <f t="shared" si="0"/>
        <v>127982</v>
      </c>
    </row>
    <row r="18" spans="1:5">
      <c r="A18" s="25">
        <v>11</v>
      </c>
      <c r="B18" s="11" t="s">
        <v>2296</v>
      </c>
      <c r="C18" s="26">
        <v>127223</v>
      </c>
      <c r="D18" s="26">
        <v>0</v>
      </c>
      <c r="E18" s="26">
        <f t="shared" si="0"/>
        <v>127223</v>
      </c>
    </row>
    <row r="19" spans="1:5">
      <c r="A19" s="25">
        <v>12</v>
      </c>
      <c r="B19" s="11" t="s">
        <v>2297</v>
      </c>
      <c r="C19" s="26">
        <v>385160</v>
      </c>
      <c r="D19" s="26">
        <v>424040</v>
      </c>
      <c r="E19" s="26">
        <f t="shared" si="0"/>
        <v>809200</v>
      </c>
    </row>
    <row r="20" spans="1:5">
      <c r="A20" s="25">
        <v>13</v>
      </c>
      <c r="B20" s="11" t="s">
        <v>2298</v>
      </c>
      <c r="C20" s="26">
        <v>2218458</v>
      </c>
      <c r="D20" s="26">
        <v>103053537</v>
      </c>
      <c r="E20" s="26">
        <f t="shared" si="0"/>
        <v>105271995</v>
      </c>
    </row>
    <row r="21" spans="1:5">
      <c r="A21" s="25">
        <v>14</v>
      </c>
      <c r="B21" s="11" t="s">
        <v>2299</v>
      </c>
      <c r="C21" s="26">
        <v>342777</v>
      </c>
      <c r="D21" s="26">
        <v>0</v>
      </c>
      <c r="E21" s="26">
        <f t="shared" si="0"/>
        <v>342777</v>
      </c>
    </row>
    <row r="22" spans="1:5">
      <c r="A22" s="25">
        <v>15</v>
      </c>
      <c r="B22" s="11" t="s">
        <v>2300</v>
      </c>
      <c r="C22" s="26">
        <v>1537222</v>
      </c>
      <c r="D22" s="26">
        <v>51733126</v>
      </c>
      <c r="E22" s="26">
        <f t="shared" si="0"/>
        <v>53270348</v>
      </c>
    </row>
    <row r="23" spans="1:5">
      <c r="A23" s="25">
        <v>16</v>
      </c>
      <c r="B23" s="11" t="s">
        <v>2301</v>
      </c>
      <c r="C23" s="26">
        <v>1500229</v>
      </c>
      <c r="D23" s="26">
        <v>134629236</v>
      </c>
      <c r="E23" s="26">
        <f t="shared" si="0"/>
        <v>136129465</v>
      </c>
    </row>
    <row r="24" spans="1:5">
      <c r="A24" s="25">
        <v>17</v>
      </c>
      <c r="B24" s="11" t="s">
        <v>2302</v>
      </c>
      <c r="C24" s="26">
        <v>1517653</v>
      </c>
      <c r="D24" s="26">
        <v>182585440</v>
      </c>
      <c r="E24" s="26">
        <f t="shared" si="0"/>
        <v>184103093</v>
      </c>
    </row>
    <row r="25" spans="1:5">
      <c r="A25" s="25">
        <v>18</v>
      </c>
      <c r="B25" s="11" t="s">
        <v>2303</v>
      </c>
      <c r="C25" s="26">
        <v>107783</v>
      </c>
      <c r="D25" s="26">
        <v>0</v>
      </c>
      <c r="E25" s="26">
        <f t="shared" si="0"/>
        <v>107783</v>
      </c>
    </row>
    <row r="26" spans="1:5">
      <c r="A26" s="25">
        <v>19</v>
      </c>
      <c r="B26" s="11" t="s">
        <v>2304</v>
      </c>
      <c r="C26" s="26">
        <v>3890367</v>
      </c>
      <c r="D26" s="26">
        <v>37003484</v>
      </c>
      <c r="E26" s="26">
        <f t="shared" si="0"/>
        <v>40893851</v>
      </c>
    </row>
    <row r="27" spans="1:5">
      <c r="A27" s="25">
        <v>20</v>
      </c>
      <c r="B27" s="11" t="s">
        <v>2305</v>
      </c>
      <c r="C27" s="26">
        <v>444226</v>
      </c>
      <c r="D27" s="26">
        <v>29257610</v>
      </c>
      <c r="E27" s="26">
        <f t="shared" si="0"/>
        <v>29701836</v>
      </c>
    </row>
    <row r="28" spans="1:5">
      <c r="A28" s="25">
        <v>21</v>
      </c>
      <c r="B28" s="11" t="s">
        <v>2306</v>
      </c>
      <c r="C28" s="26">
        <v>2387908</v>
      </c>
      <c r="D28" s="26">
        <v>114864155</v>
      </c>
      <c r="E28" s="26">
        <f t="shared" si="0"/>
        <v>117252063</v>
      </c>
    </row>
    <row r="29" spans="1:5">
      <c r="A29" s="25">
        <v>22</v>
      </c>
      <c r="B29" s="11" t="s">
        <v>2307</v>
      </c>
      <c r="C29" s="26">
        <v>452676</v>
      </c>
      <c r="D29" s="26">
        <v>0</v>
      </c>
      <c r="E29" s="26">
        <f t="shared" si="0"/>
        <v>452676</v>
      </c>
    </row>
    <row r="30" spans="1:5">
      <c r="A30" s="25">
        <v>23</v>
      </c>
      <c r="B30" s="11" t="s">
        <v>2308</v>
      </c>
      <c r="C30" s="26">
        <v>6127315</v>
      </c>
      <c r="D30" s="26">
        <v>5738507</v>
      </c>
      <c r="E30" s="26">
        <f t="shared" si="0"/>
        <v>11865822</v>
      </c>
    </row>
    <row r="31" spans="1:5">
      <c r="A31" s="25">
        <v>24</v>
      </c>
      <c r="B31" s="11" t="s">
        <v>2241</v>
      </c>
      <c r="C31" s="26">
        <v>1059785</v>
      </c>
      <c r="D31" s="26">
        <v>406900</v>
      </c>
      <c r="E31" s="26">
        <f t="shared" si="0"/>
        <v>1466685</v>
      </c>
    </row>
    <row r="32" spans="1:5">
      <c r="A32" s="25">
        <v>25</v>
      </c>
      <c r="B32" s="11" t="s">
        <v>2309</v>
      </c>
      <c r="C32" s="26">
        <v>1013757</v>
      </c>
      <c r="D32" s="26">
        <v>21073</v>
      </c>
      <c r="E32" s="26">
        <f t="shared" si="0"/>
        <v>1034830</v>
      </c>
    </row>
    <row r="33" spans="1:5">
      <c r="A33" s="25">
        <v>26</v>
      </c>
      <c r="B33" s="11" t="s">
        <v>2310</v>
      </c>
      <c r="C33" s="26">
        <v>1490168</v>
      </c>
      <c r="D33" s="26">
        <v>0</v>
      </c>
      <c r="E33" s="26">
        <f t="shared" si="0"/>
        <v>1490168</v>
      </c>
    </row>
    <row r="34" spans="1:5">
      <c r="A34" s="25">
        <v>27</v>
      </c>
      <c r="B34" s="11" t="s">
        <v>2311</v>
      </c>
      <c r="C34" s="26">
        <v>471552655</v>
      </c>
      <c r="D34" s="26">
        <v>2799056</v>
      </c>
      <c r="E34" s="26">
        <f t="shared" si="0"/>
        <v>474351711</v>
      </c>
    </row>
    <row r="35" spans="1:5">
      <c r="A35" s="25">
        <v>28</v>
      </c>
      <c r="B35" s="11" t="s">
        <v>2312</v>
      </c>
      <c r="C35" s="26">
        <v>201479900</v>
      </c>
      <c r="D35" s="26">
        <v>2920000</v>
      </c>
      <c r="E35" s="26">
        <f t="shared" si="0"/>
        <v>204399900</v>
      </c>
    </row>
    <row r="36" spans="1:5">
      <c r="A36" s="25">
        <v>29</v>
      </c>
      <c r="B36" s="11" t="s">
        <v>2313</v>
      </c>
      <c r="C36" s="26">
        <v>2293658</v>
      </c>
      <c r="D36" s="26">
        <v>19943365</v>
      </c>
      <c r="E36" s="26">
        <f t="shared" si="0"/>
        <v>22237023</v>
      </c>
    </row>
    <row r="37" spans="1:5">
      <c r="A37" s="25">
        <v>30</v>
      </c>
      <c r="B37" s="11" t="s">
        <v>2314</v>
      </c>
      <c r="C37" s="26">
        <v>34424</v>
      </c>
      <c r="D37" s="26">
        <v>61346686</v>
      </c>
      <c r="E37" s="26">
        <f t="shared" si="0"/>
        <v>61381110</v>
      </c>
    </row>
    <row r="38" spans="1:5">
      <c r="A38" s="25">
        <v>31</v>
      </c>
      <c r="B38" s="11" t="s">
        <v>2315</v>
      </c>
      <c r="C38" s="26">
        <v>0</v>
      </c>
      <c r="D38" s="26">
        <v>0</v>
      </c>
      <c r="E38" s="26">
        <f t="shared" si="0"/>
        <v>0</v>
      </c>
    </row>
    <row r="39" spans="1:5">
      <c r="A39" s="25">
        <v>32</v>
      </c>
      <c r="B39" s="11" t="s">
        <v>2316</v>
      </c>
      <c r="C39" s="26">
        <v>878645</v>
      </c>
      <c r="D39" s="26">
        <v>0</v>
      </c>
      <c r="E39" s="26">
        <f t="shared" si="0"/>
        <v>878645</v>
      </c>
    </row>
    <row r="40" spans="1:5">
      <c r="A40" s="25">
        <v>33</v>
      </c>
      <c r="B40" s="11" t="s">
        <v>2317</v>
      </c>
      <c r="C40" s="26">
        <v>81894679</v>
      </c>
      <c r="D40" s="26">
        <v>77213613</v>
      </c>
      <c r="E40" s="26">
        <f t="shared" si="0"/>
        <v>159108292</v>
      </c>
    </row>
    <row r="41" spans="1:5">
      <c r="A41" s="25">
        <v>34</v>
      </c>
      <c r="B41" s="11" t="s">
        <v>2318</v>
      </c>
      <c r="C41" s="26">
        <v>3225135</v>
      </c>
      <c r="D41" s="27">
        <v>5403459</v>
      </c>
      <c r="E41" s="26">
        <f t="shared" si="0"/>
        <v>8628594</v>
      </c>
    </row>
    <row r="42" spans="1:5">
      <c r="A42" s="25">
        <v>35</v>
      </c>
      <c r="B42" s="11" t="s">
        <v>2319</v>
      </c>
      <c r="C42" s="26">
        <v>451244</v>
      </c>
      <c r="D42" s="26">
        <v>5000</v>
      </c>
      <c r="E42" s="26">
        <f t="shared" si="0"/>
        <v>456244</v>
      </c>
    </row>
    <row r="43" spans="1:5">
      <c r="A43" s="25">
        <v>36</v>
      </c>
      <c r="B43" s="11" t="s">
        <v>2320</v>
      </c>
      <c r="C43" s="26">
        <v>140799569</v>
      </c>
      <c r="D43" s="26">
        <v>517350</v>
      </c>
      <c r="E43" s="26">
        <f t="shared" si="0"/>
        <v>141316919</v>
      </c>
    </row>
    <row r="44" spans="1:5">
      <c r="A44" s="25">
        <v>37</v>
      </c>
      <c r="B44" s="11" t="s">
        <v>2321</v>
      </c>
      <c r="C44" s="26">
        <v>229446433</v>
      </c>
      <c r="D44" s="26">
        <v>200</v>
      </c>
      <c r="E44" s="26">
        <f t="shared" si="0"/>
        <v>229446633</v>
      </c>
    </row>
    <row r="45" spans="1:5">
      <c r="A45" s="25">
        <v>38</v>
      </c>
      <c r="B45" s="11" t="s">
        <v>2322</v>
      </c>
      <c r="C45" s="26">
        <v>929913</v>
      </c>
      <c r="D45" s="26">
        <v>21186130</v>
      </c>
      <c r="E45" s="26">
        <f t="shared" si="0"/>
        <v>22116043</v>
      </c>
    </row>
    <row r="46" spans="1:5">
      <c r="A46" s="25">
        <v>39</v>
      </c>
      <c r="B46" s="11" t="s">
        <v>2323</v>
      </c>
      <c r="C46" s="26">
        <v>1107888</v>
      </c>
      <c r="D46" s="26">
        <v>5826000</v>
      </c>
      <c r="E46" s="26">
        <f t="shared" si="0"/>
        <v>6933888</v>
      </c>
    </row>
    <row r="47" spans="1:5">
      <c r="A47" s="25">
        <v>40</v>
      </c>
      <c r="B47" s="11" t="s">
        <v>2324</v>
      </c>
      <c r="C47" s="26">
        <v>66679291</v>
      </c>
      <c r="D47" s="26">
        <v>0</v>
      </c>
      <c r="E47" s="26">
        <f t="shared" si="0"/>
        <v>66679291</v>
      </c>
    </row>
    <row r="48" spans="1:5">
      <c r="A48" s="25">
        <v>41</v>
      </c>
      <c r="B48" s="11" t="s">
        <v>2325</v>
      </c>
      <c r="C48" s="26">
        <v>96360393</v>
      </c>
      <c r="D48" s="26">
        <v>0</v>
      </c>
      <c r="E48" s="26">
        <f t="shared" si="0"/>
        <v>96360393</v>
      </c>
    </row>
    <row r="49" spans="1:6">
      <c r="A49" s="25">
        <v>42</v>
      </c>
      <c r="B49" s="11" t="s">
        <v>2326</v>
      </c>
      <c r="C49" s="26">
        <v>459009</v>
      </c>
      <c r="D49" s="26">
        <v>0</v>
      </c>
      <c r="E49" s="26">
        <f t="shared" si="0"/>
        <v>459009</v>
      </c>
    </row>
    <row r="50" spans="1:6">
      <c r="A50" s="25">
        <v>43</v>
      </c>
      <c r="B50" s="11" t="s">
        <v>2327</v>
      </c>
      <c r="C50" s="26">
        <v>602971625</v>
      </c>
      <c r="D50" s="26">
        <v>0</v>
      </c>
      <c r="E50" s="26">
        <f t="shared" si="0"/>
        <v>602971625</v>
      </c>
    </row>
    <row r="51" spans="1:6">
      <c r="A51" s="25">
        <v>44</v>
      </c>
      <c r="B51" s="11" t="s">
        <v>2328</v>
      </c>
      <c r="C51" s="26">
        <v>1151035</v>
      </c>
      <c r="D51" s="26">
        <v>198097835</v>
      </c>
      <c r="E51" s="26">
        <f t="shared" si="0"/>
        <v>199248870</v>
      </c>
    </row>
    <row r="52" spans="1:6">
      <c r="A52" s="25">
        <v>45</v>
      </c>
      <c r="B52" s="11" t="s">
        <v>2329</v>
      </c>
      <c r="C52" s="26">
        <v>0</v>
      </c>
      <c r="D52" s="26">
        <v>440000</v>
      </c>
      <c r="E52" s="26">
        <f t="shared" si="0"/>
        <v>440000</v>
      </c>
    </row>
    <row r="53" spans="1:6">
      <c r="A53" s="25">
        <v>46</v>
      </c>
      <c r="B53" s="11" t="s">
        <v>2330</v>
      </c>
      <c r="C53" s="26">
        <v>1296100</v>
      </c>
      <c r="D53" s="26">
        <v>58334305</v>
      </c>
      <c r="E53" s="26">
        <f t="shared" si="0"/>
        <v>59630405</v>
      </c>
    </row>
    <row r="54" spans="1:6">
      <c r="A54" s="25">
        <v>47</v>
      </c>
      <c r="B54" s="11" t="s">
        <v>2331</v>
      </c>
      <c r="C54" s="26">
        <v>10828454</v>
      </c>
      <c r="D54" s="26">
        <v>0</v>
      </c>
      <c r="E54" s="26">
        <f t="shared" si="0"/>
        <v>10828454</v>
      </c>
    </row>
    <row r="55" spans="1:6">
      <c r="A55" s="25">
        <v>48</v>
      </c>
      <c r="B55" s="11" t="s">
        <v>2332</v>
      </c>
      <c r="C55" s="26">
        <v>110406</v>
      </c>
      <c r="D55" s="26">
        <v>0</v>
      </c>
      <c r="E55" s="26">
        <f t="shared" si="0"/>
        <v>110406</v>
      </c>
    </row>
    <row r="56" spans="1:6">
      <c r="A56" s="25">
        <v>49</v>
      </c>
      <c r="B56" s="11" t="s">
        <v>2333</v>
      </c>
      <c r="C56" s="26">
        <v>217637</v>
      </c>
      <c r="D56" s="26">
        <v>517750</v>
      </c>
      <c r="E56" s="26">
        <f t="shared" si="0"/>
        <v>735387</v>
      </c>
    </row>
    <row r="57" spans="1:6">
      <c r="A57" s="25">
        <v>50</v>
      </c>
      <c r="B57" s="11" t="s">
        <v>2334</v>
      </c>
      <c r="C57" s="26">
        <v>1040261</v>
      </c>
      <c r="D57" s="26">
        <v>25993117</v>
      </c>
      <c r="E57" s="26">
        <f t="shared" si="0"/>
        <v>27033378</v>
      </c>
    </row>
    <row r="58" spans="1:6" ht="15.75" thickBot="1">
      <c r="A58" s="1901">
        <v>51</v>
      </c>
      <c r="B58" s="1902" t="s">
        <v>2335</v>
      </c>
      <c r="C58" s="1903">
        <v>459958</v>
      </c>
      <c r="D58" s="1903">
        <v>0</v>
      </c>
      <c r="E58" s="1903">
        <f t="shared" si="0"/>
        <v>459958</v>
      </c>
      <c r="F58" s="1948"/>
    </row>
    <row r="59" spans="1:6">
      <c r="A59" s="1898">
        <v>52</v>
      </c>
      <c r="B59" s="1899" t="s">
        <v>2336</v>
      </c>
      <c r="C59" s="1900">
        <v>655899</v>
      </c>
      <c r="D59" s="1900">
        <v>115600</v>
      </c>
      <c r="E59" s="1900">
        <f t="shared" si="0"/>
        <v>771499</v>
      </c>
    </row>
    <row r="60" spans="1:6">
      <c r="A60" s="25">
        <v>53</v>
      </c>
      <c r="B60" s="11" t="s">
        <v>2337</v>
      </c>
      <c r="C60" s="26">
        <v>696059</v>
      </c>
      <c r="D60" s="26">
        <v>454989</v>
      </c>
      <c r="E60" s="26">
        <f t="shared" si="0"/>
        <v>1151048</v>
      </c>
    </row>
    <row r="61" spans="1:6">
      <c r="A61" s="25">
        <v>54</v>
      </c>
      <c r="B61" s="11" t="s">
        <v>2338</v>
      </c>
      <c r="C61" s="26">
        <v>120996</v>
      </c>
      <c r="D61" s="26">
        <v>12948600</v>
      </c>
      <c r="E61" s="26">
        <f t="shared" si="0"/>
        <v>13069596</v>
      </c>
    </row>
    <row r="62" spans="1:6">
      <c r="A62" s="25">
        <v>55</v>
      </c>
      <c r="B62" s="11" t="s">
        <v>2339</v>
      </c>
      <c r="C62" s="26">
        <v>215489</v>
      </c>
      <c r="D62" s="26">
        <v>0</v>
      </c>
      <c r="E62" s="26">
        <f t="shared" si="0"/>
        <v>215489</v>
      </c>
    </row>
    <row r="63" spans="1:6">
      <c r="A63" s="25">
        <v>56</v>
      </c>
      <c r="B63" s="11" t="s">
        <v>2340</v>
      </c>
      <c r="C63" s="26">
        <v>369403</v>
      </c>
      <c r="D63" s="26">
        <v>0</v>
      </c>
      <c r="E63" s="26">
        <f t="shared" si="0"/>
        <v>369403</v>
      </c>
    </row>
    <row r="64" spans="1:6">
      <c r="A64" s="25">
        <v>57</v>
      </c>
      <c r="B64" s="11" t="s">
        <v>2341</v>
      </c>
      <c r="C64" s="26">
        <v>0</v>
      </c>
      <c r="D64" s="26">
        <v>0</v>
      </c>
      <c r="E64" s="26">
        <f t="shared" si="0"/>
        <v>0</v>
      </c>
    </row>
    <row r="65" spans="1:5">
      <c r="A65" s="25">
        <v>58</v>
      </c>
      <c r="B65" s="11" t="s">
        <v>2342</v>
      </c>
      <c r="C65" s="26">
        <v>949335</v>
      </c>
      <c r="D65" s="26">
        <v>0</v>
      </c>
      <c r="E65" s="26">
        <f t="shared" si="0"/>
        <v>949335</v>
      </c>
    </row>
    <row r="66" spans="1:5">
      <c r="A66" s="25">
        <v>59</v>
      </c>
      <c r="B66" s="11" t="s">
        <v>2343</v>
      </c>
      <c r="C66" s="26">
        <v>563053</v>
      </c>
      <c r="D66" s="26">
        <v>107858</v>
      </c>
      <c r="E66" s="26">
        <f t="shared" si="0"/>
        <v>670911</v>
      </c>
    </row>
    <row r="67" spans="1:5">
      <c r="A67" s="25">
        <v>60</v>
      </c>
      <c r="B67" s="11" t="s">
        <v>2344</v>
      </c>
      <c r="C67" s="26">
        <v>112135</v>
      </c>
      <c r="D67" s="26">
        <v>0</v>
      </c>
      <c r="E67" s="26">
        <f t="shared" si="0"/>
        <v>112135</v>
      </c>
    </row>
    <row r="68" spans="1:5">
      <c r="A68" s="25">
        <v>61</v>
      </c>
      <c r="B68" s="11" t="s">
        <v>2345</v>
      </c>
      <c r="C68" s="26">
        <v>1755310</v>
      </c>
      <c r="D68" s="26">
        <v>0</v>
      </c>
      <c r="E68" s="26">
        <f t="shared" si="0"/>
        <v>1755310</v>
      </c>
    </row>
    <row r="69" spans="1:5">
      <c r="A69" s="25">
        <v>62</v>
      </c>
      <c r="B69" s="11" t="s">
        <v>2346</v>
      </c>
      <c r="C69" s="26">
        <v>111166200</v>
      </c>
      <c r="D69" s="26">
        <v>0</v>
      </c>
      <c r="E69" s="26">
        <f t="shared" si="0"/>
        <v>111166200</v>
      </c>
    </row>
    <row r="70" spans="1:5">
      <c r="A70" s="25">
        <v>63</v>
      </c>
      <c r="B70" s="11" t="s">
        <v>2347</v>
      </c>
      <c r="C70" s="26">
        <v>609128</v>
      </c>
      <c r="D70" s="26">
        <v>70741</v>
      </c>
      <c r="E70" s="26">
        <f t="shared" si="0"/>
        <v>679869</v>
      </c>
    </row>
    <row r="71" spans="1:5">
      <c r="A71" s="25">
        <v>64</v>
      </c>
      <c r="B71" s="11" t="s">
        <v>2348</v>
      </c>
      <c r="C71" s="26">
        <v>1688935</v>
      </c>
      <c r="D71" s="26">
        <v>0</v>
      </c>
      <c r="E71" s="26">
        <f t="shared" si="0"/>
        <v>1688935</v>
      </c>
    </row>
    <row r="72" spans="1:5">
      <c r="A72" s="25">
        <v>65</v>
      </c>
      <c r="B72" s="11" t="s">
        <v>2248</v>
      </c>
      <c r="C72" s="26">
        <v>1496179</v>
      </c>
      <c r="D72" s="26">
        <v>0</v>
      </c>
      <c r="E72" s="26">
        <f t="shared" si="0"/>
        <v>1496179</v>
      </c>
    </row>
    <row r="73" spans="1:5">
      <c r="A73" s="25">
        <v>66</v>
      </c>
      <c r="B73" s="11" t="s">
        <v>2349</v>
      </c>
      <c r="C73" s="26">
        <v>43062794</v>
      </c>
      <c r="D73" s="26">
        <v>0</v>
      </c>
      <c r="E73" s="26">
        <f t="shared" ref="E73:E94" si="1">SUM(C73:D73)</f>
        <v>43062794</v>
      </c>
    </row>
    <row r="74" spans="1:5">
      <c r="A74" s="25">
        <v>67</v>
      </c>
      <c r="B74" s="11" t="s">
        <v>2350</v>
      </c>
      <c r="C74" s="26">
        <v>4525581</v>
      </c>
      <c r="D74" s="26">
        <v>0</v>
      </c>
      <c r="E74" s="26">
        <f t="shared" si="1"/>
        <v>4525581</v>
      </c>
    </row>
    <row r="75" spans="1:5">
      <c r="A75" s="25">
        <v>68</v>
      </c>
      <c r="B75" s="11" t="s">
        <v>2351</v>
      </c>
      <c r="C75" s="26">
        <v>782126</v>
      </c>
      <c r="D75" s="26">
        <v>0</v>
      </c>
      <c r="E75" s="26">
        <f t="shared" si="1"/>
        <v>782126</v>
      </c>
    </row>
    <row r="76" spans="1:5">
      <c r="A76" s="25">
        <v>69</v>
      </c>
      <c r="B76" s="11" t="s">
        <v>2247</v>
      </c>
      <c r="C76" s="26">
        <v>3256941</v>
      </c>
      <c r="D76" s="26">
        <v>0</v>
      </c>
      <c r="E76" s="26">
        <f t="shared" si="1"/>
        <v>3256941</v>
      </c>
    </row>
    <row r="77" spans="1:5">
      <c r="A77" s="25">
        <v>70</v>
      </c>
      <c r="B77" s="11" t="s">
        <v>2234</v>
      </c>
      <c r="C77" s="26">
        <v>2804743</v>
      </c>
      <c r="D77" s="26">
        <v>315</v>
      </c>
      <c r="E77" s="26">
        <f t="shared" si="1"/>
        <v>2805058</v>
      </c>
    </row>
    <row r="78" spans="1:5">
      <c r="A78" s="25">
        <v>71</v>
      </c>
      <c r="B78" s="11" t="s">
        <v>2352</v>
      </c>
      <c r="C78" s="26">
        <v>1132188</v>
      </c>
      <c r="D78" s="26">
        <v>5443990</v>
      </c>
      <c r="E78" s="26">
        <f t="shared" si="1"/>
        <v>6576178</v>
      </c>
    </row>
    <row r="79" spans="1:5">
      <c r="A79" s="25">
        <v>72</v>
      </c>
      <c r="B79" s="11" t="s">
        <v>2353</v>
      </c>
      <c r="C79" s="26">
        <v>423036</v>
      </c>
      <c r="D79" s="26">
        <v>76195212</v>
      </c>
      <c r="E79" s="26">
        <f t="shared" si="1"/>
        <v>76618248</v>
      </c>
    </row>
    <row r="80" spans="1:5">
      <c r="A80" s="25">
        <v>73</v>
      </c>
      <c r="B80" s="11" t="s">
        <v>2354</v>
      </c>
      <c r="C80" s="26">
        <v>2283501</v>
      </c>
      <c r="D80" s="26">
        <v>0</v>
      </c>
      <c r="E80" s="26">
        <f t="shared" si="1"/>
        <v>2283501</v>
      </c>
    </row>
    <row r="81" spans="1:5">
      <c r="A81" s="25">
        <v>74</v>
      </c>
      <c r="B81" s="11" t="s">
        <v>2355</v>
      </c>
      <c r="C81" s="26">
        <v>3377650</v>
      </c>
      <c r="D81" s="26">
        <v>57316000</v>
      </c>
      <c r="E81" s="26">
        <f t="shared" si="1"/>
        <v>60693650</v>
      </c>
    </row>
    <row r="82" spans="1:5">
      <c r="A82" s="25">
        <v>75</v>
      </c>
      <c r="B82" s="11" t="s">
        <v>2356</v>
      </c>
      <c r="C82" s="26">
        <v>124842209</v>
      </c>
      <c r="D82" s="26">
        <v>55287988</v>
      </c>
      <c r="E82" s="26">
        <f t="shared" si="1"/>
        <v>180130197</v>
      </c>
    </row>
    <row r="83" spans="1:5">
      <c r="A83" s="25">
        <v>76</v>
      </c>
      <c r="B83" s="11" t="s">
        <v>2267</v>
      </c>
      <c r="C83" s="26">
        <v>784106888</v>
      </c>
      <c r="D83" s="26">
        <v>5081099</v>
      </c>
      <c r="E83" s="26">
        <f t="shared" si="1"/>
        <v>789187987</v>
      </c>
    </row>
    <row r="84" spans="1:5">
      <c r="A84" s="25">
        <v>77</v>
      </c>
      <c r="B84" s="11" t="s">
        <v>2357</v>
      </c>
      <c r="C84" s="26">
        <v>4350149</v>
      </c>
      <c r="D84" s="26">
        <v>0</v>
      </c>
      <c r="E84" s="26">
        <f t="shared" si="1"/>
        <v>4350149</v>
      </c>
    </row>
    <row r="85" spans="1:5">
      <c r="A85" s="25">
        <v>78</v>
      </c>
      <c r="B85" s="11" t="s">
        <v>2358</v>
      </c>
      <c r="C85" s="26">
        <v>159359</v>
      </c>
      <c r="D85" s="26">
        <v>10081</v>
      </c>
      <c r="E85" s="26">
        <f t="shared" si="1"/>
        <v>169440</v>
      </c>
    </row>
    <row r="86" spans="1:5">
      <c r="A86" s="25">
        <v>79</v>
      </c>
      <c r="B86" s="11" t="s">
        <v>2359</v>
      </c>
      <c r="C86" s="26">
        <v>0</v>
      </c>
      <c r="D86" s="26">
        <v>0</v>
      </c>
      <c r="E86" s="26">
        <f t="shared" si="1"/>
        <v>0</v>
      </c>
    </row>
    <row r="87" spans="1:5">
      <c r="A87" s="25">
        <v>80</v>
      </c>
      <c r="B87" s="11" t="s">
        <v>2360</v>
      </c>
      <c r="C87" s="26">
        <v>385167</v>
      </c>
      <c r="D87" s="26">
        <v>0</v>
      </c>
      <c r="E87" s="26">
        <f t="shared" si="1"/>
        <v>385167</v>
      </c>
    </row>
    <row r="88" spans="1:5">
      <c r="A88" s="25">
        <v>81</v>
      </c>
      <c r="B88" s="11" t="s">
        <v>2361</v>
      </c>
      <c r="C88" s="26">
        <v>129327</v>
      </c>
      <c r="D88" s="26">
        <v>0</v>
      </c>
      <c r="E88" s="26">
        <f t="shared" si="1"/>
        <v>129327</v>
      </c>
    </row>
    <row r="89" spans="1:5">
      <c r="A89" s="25">
        <v>82</v>
      </c>
      <c r="B89" s="11" t="s">
        <v>2362</v>
      </c>
      <c r="C89" s="26">
        <v>102437</v>
      </c>
      <c r="D89" s="26">
        <v>0</v>
      </c>
      <c r="E89" s="26">
        <f t="shared" si="1"/>
        <v>102437</v>
      </c>
    </row>
    <row r="90" spans="1:5">
      <c r="A90" s="25">
        <v>83</v>
      </c>
      <c r="B90" s="11" t="s">
        <v>2363</v>
      </c>
      <c r="C90" s="26">
        <v>58582</v>
      </c>
      <c r="D90" s="26">
        <v>8600955</v>
      </c>
      <c r="E90" s="26">
        <f t="shared" si="1"/>
        <v>8659537</v>
      </c>
    </row>
    <row r="91" spans="1:5">
      <c r="A91" s="25">
        <v>84</v>
      </c>
      <c r="B91" s="11" t="s">
        <v>2364</v>
      </c>
      <c r="C91" s="26">
        <v>252443</v>
      </c>
      <c r="D91" s="26">
        <v>4239062</v>
      </c>
      <c r="E91" s="26">
        <f t="shared" si="1"/>
        <v>4491505</v>
      </c>
    </row>
    <row r="92" spans="1:5">
      <c r="A92" s="25">
        <v>85</v>
      </c>
      <c r="B92" s="11" t="s">
        <v>2365</v>
      </c>
      <c r="C92" s="26">
        <v>8998</v>
      </c>
      <c r="D92" s="26">
        <v>0</v>
      </c>
      <c r="E92" s="26">
        <f t="shared" si="1"/>
        <v>8998</v>
      </c>
    </row>
    <row r="93" spans="1:5">
      <c r="A93" s="25">
        <v>86</v>
      </c>
      <c r="B93" s="11" t="s">
        <v>2366</v>
      </c>
      <c r="C93" s="26">
        <v>129896</v>
      </c>
      <c r="D93" s="26">
        <v>0</v>
      </c>
      <c r="E93" s="26">
        <f t="shared" si="1"/>
        <v>129896</v>
      </c>
    </row>
    <row r="94" spans="1:5">
      <c r="A94" s="13">
        <v>87</v>
      </c>
      <c r="B94" s="14" t="s">
        <v>2282</v>
      </c>
      <c r="C94" s="26">
        <v>0</v>
      </c>
      <c r="D94" s="26">
        <v>0</v>
      </c>
      <c r="E94" s="26">
        <f t="shared" si="1"/>
        <v>0</v>
      </c>
    </row>
    <row r="95" spans="1:5">
      <c r="A95" s="13"/>
      <c r="B95" s="14"/>
      <c r="C95" s="26"/>
      <c r="D95" s="26"/>
      <c r="E95" s="26"/>
    </row>
    <row r="96" spans="1:5" s="22" customFormat="1">
      <c r="A96" s="2222" t="s">
        <v>9</v>
      </c>
      <c r="B96" s="2223"/>
      <c r="C96" s="28">
        <f>SUM(C8:C95)</f>
        <v>4615519883</v>
      </c>
      <c r="D96" s="28">
        <f>SUM(D8:D95)</f>
        <v>1537770983</v>
      </c>
      <c r="E96" s="28">
        <f>SUM(E8:E95)</f>
        <v>6153290866</v>
      </c>
    </row>
    <row r="97" spans="5:5">
      <c r="E97" s="6"/>
    </row>
    <row r="99" spans="5:5">
      <c r="E99" s="6"/>
    </row>
  </sheetData>
  <mergeCells count="7">
    <mergeCell ref="A1:E1"/>
    <mergeCell ref="A2:E2"/>
    <mergeCell ref="A3:E3"/>
    <mergeCell ref="C6:E6"/>
    <mergeCell ref="A96:B96"/>
    <mergeCell ref="A6:A7"/>
    <mergeCell ref="B6:B7"/>
  </mergeCells>
  <pageMargins left="1.5" right="0.16944444444444401" top="0.74791666666666701" bottom="2.5299999999999998" header="0.31458333333333299" footer="0.31458333333333299"/>
  <pageSetup paperSize="5" scale="90"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>
  <sheetPr>
    <tabColor rgb="FF00B0F0"/>
  </sheetPr>
  <dimension ref="A1:E95"/>
  <sheetViews>
    <sheetView workbookViewId="0">
      <selection activeCell="C5" sqref="C5"/>
    </sheetView>
  </sheetViews>
  <sheetFormatPr defaultColWidth="8.85546875" defaultRowHeight="15"/>
  <cols>
    <col min="1" max="1" width="7.7109375" style="1" customWidth="1"/>
    <col min="2" max="2" width="63.7109375" style="2" customWidth="1"/>
    <col min="3" max="3" width="23.7109375" style="3" customWidth="1"/>
    <col min="4" max="16384" width="8.85546875" style="2"/>
  </cols>
  <sheetData>
    <row r="1" spans="1:5">
      <c r="A1" s="1954" t="s">
        <v>0</v>
      </c>
      <c r="B1" s="1954"/>
      <c r="C1" s="1954"/>
      <c r="D1" s="20"/>
      <c r="E1" s="20"/>
    </row>
    <row r="2" spans="1:5">
      <c r="A2" s="1954" t="s">
        <v>2381</v>
      </c>
      <c r="B2" s="1954"/>
      <c r="C2" s="1954"/>
      <c r="D2" s="20"/>
      <c r="E2" s="20"/>
    </row>
    <row r="3" spans="1:5">
      <c r="A3" s="1954" t="s">
        <v>2</v>
      </c>
      <c r="B3" s="1954"/>
      <c r="C3" s="1954"/>
      <c r="D3" s="20"/>
      <c r="E3" s="20"/>
    </row>
    <row r="4" spans="1:5">
      <c r="A4" s="4"/>
      <c r="B4" s="5"/>
      <c r="C4" s="6"/>
      <c r="D4" s="5"/>
      <c r="E4" s="5"/>
    </row>
    <row r="5" spans="1:5">
      <c r="C5" s="7" t="s">
        <v>2162</v>
      </c>
    </row>
    <row r="6" spans="1:5" ht="30">
      <c r="A6" s="8" t="s">
        <v>1546</v>
      </c>
      <c r="B6" s="8" t="s">
        <v>2193</v>
      </c>
      <c r="C6" s="9" t="s">
        <v>2382</v>
      </c>
    </row>
    <row r="7" spans="1:5">
      <c r="A7" s="10">
        <v>1</v>
      </c>
      <c r="B7" s="18" t="s">
        <v>2196</v>
      </c>
      <c r="C7" s="12">
        <v>0</v>
      </c>
    </row>
    <row r="8" spans="1:5">
      <c r="A8" s="10">
        <v>2</v>
      </c>
      <c r="B8" s="18" t="s">
        <v>2197</v>
      </c>
      <c r="C8" s="12">
        <v>0</v>
      </c>
    </row>
    <row r="9" spans="1:5">
      <c r="A9" s="10">
        <v>3</v>
      </c>
      <c r="B9" s="18" t="s">
        <v>2198</v>
      </c>
      <c r="C9" s="12">
        <v>0</v>
      </c>
    </row>
    <row r="10" spans="1:5">
      <c r="A10" s="10">
        <v>4</v>
      </c>
      <c r="B10" s="18" t="s">
        <v>2199</v>
      </c>
      <c r="C10" s="12">
        <v>0</v>
      </c>
    </row>
    <row r="11" spans="1:5">
      <c r="A11" s="10">
        <v>5</v>
      </c>
      <c r="B11" s="18" t="s">
        <v>2200</v>
      </c>
      <c r="C11" s="12">
        <v>0</v>
      </c>
    </row>
    <row r="12" spans="1:5">
      <c r="A12" s="10">
        <v>6</v>
      </c>
      <c r="B12" s="18" t="s">
        <v>2201</v>
      </c>
      <c r="C12" s="12">
        <v>0</v>
      </c>
    </row>
    <row r="13" spans="1:5">
      <c r="A13" s="10">
        <v>7</v>
      </c>
      <c r="B13" s="18" t="s">
        <v>2202</v>
      </c>
      <c r="C13" s="12">
        <v>0</v>
      </c>
    </row>
    <row r="14" spans="1:5">
      <c r="A14" s="10">
        <v>8</v>
      </c>
      <c r="B14" s="18" t="s">
        <v>2203</v>
      </c>
      <c r="C14" s="12">
        <v>0</v>
      </c>
    </row>
    <row r="15" spans="1:5">
      <c r="A15" s="10">
        <v>9</v>
      </c>
      <c r="B15" s="18" t="s">
        <v>2204</v>
      </c>
      <c r="C15" s="12">
        <v>0</v>
      </c>
    </row>
    <row r="16" spans="1:5">
      <c r="A16" s="10">
        <v>10</v>
      </c>
      <c r="B16" s="18" t="s">
        <v>2205</v>
      </c>
      <c r="C16" s="12">
        <v>0</v>
      </c>
    </row>
    <row r="17" spans="1:3">
      <c r="A17" s="10">
        <v>11</v>
      </c>
      <c r="B17" s="18" t="s">
        <v>2206</v>
      </c>
      <c r="C17" s="12">
        <v>0</v>
      </c>
    </row>
    <row r="18" spans="1:3">
      <c r="A18" s="10">
        <v>12</v>
      </c>
      <c r="B18" s="18" t="s">
        <v>2207</v>
      </c>
      <c r="C18" s="12">
        <v>0</v>
      </c>
    </row>
    <row r="19" spans="1:3">
      <c r="A19" s="10">
        <v>13</v>
      </c>
      <c r="B19" s="18" t="s">
        <v>2208</v>
      </c>
      <c r="C19" s="12">
        <v>0</v>
      </c>
    </row>
    <row r="20" spans="1:3">
      <c r="A20" s="10">
        <v>14</v>
      </c>
      <c r="B20" s="18" t="s">
        <v>2209</v>
      </c>
      <c r="C20" s="12">
        <v>0</v>
      </c>
    </row>
    <row r="21" spans="1:3">
      <c r="A21" s="10">
        <v>15</v>
      </c>
      <c r="B21" s="18" t="s">
        <v>2210</v>
      </c>
      <c r="C21" s="12">
        <v>0</v>
      </c>
    </row>
    <row r="22" spans="1:3">
      <c r="A22" s="10">
        <v>16</v>
      </c>
      <c r="B22" s="18" t="s">
        <v>2211</v>
      </c>
      <c r="C22" s="12">
        <v>0</v>
      </c>
    </row>
    <row r="23" spans="1:3">
      <c r="A23" s="10">
        <v>17</v>
      </c>
      <c r="B23" s="18" t="s">
        <v>2212</v>
      </c>
      <c r="C23" s="12">
        <v>0</v>
      </c>
    </row>
    <row r="24" spans="1:3">
      <c r="A24" s="10">
        <v>18</v>
      </c>
      <c r="B24" s="18" t="s">
        <v>2213</v>
      </c>
      <c r="C24" s="12">
        <f>[8]Sheet1!$Q$23</f>
        <v>32677</v>
      </c>
    </row>
    <row r="25" spans="1:3">
      <c r="A25" s="10">
        <v>19</v>
      </c>
      <c r="B25" s="18" t="s">
        <v>2214</v>
      </c>
      <c r="C25" s="12">
        <v>0</v>
      </c>
    </row>
    <row r="26" spans="1:3">
      <c r="A26" s="10">
        <v>20</v>
      </c>
      <c r="B26" s="18" t="s">
        <v>2215</v>
      </c>
      <c r="C26" s="12">
        <v>0</v>
      </c>
    </row>
    <row r="27" spans="1:3">
      <c r="A27" s="10">
        <v>21</v>
      </c>
      <c r="B27" s="18" t="s">
        <v>2216</v>
      </c>
      <c r="C27" s="12">
        <v>0</v>
      </c>
    </row>
    <row r="28" spans="1:3">
      <c r="A28" s="10">
        <v>22</v>
      </c>
      <c r="B28" s="18" t="s">
        <v>2217</v>
      </c>
      <c r="C28" s="12">
        <v>0</v>
      </c>
    </row>
    <row r="29" spans="1:3">
      <c r="A29" s="10">
        <v>23</v>
      </c>
      <c r="B29" s="18" t="s">
        <v>2218</v>
      </c>
      <c r="C29" s="12">
        <v>0</v>
      </c>
    </row>
    <row r="30" spans="1:3">
      <c r="A30" s="10">
        <v>24</v>
      </c>
      <c r="B30" s="18" t="s">
        <v>2219</v>
      </c>
      <c r="C30" s="12">
        <v>0</v>
      </c>
    </row>
    <row r="31" spans="1:3">
      <c r="A31" s="10">
        <v>25</v>
      </c>
      <c r="B31" s="18" t="s">
        <v>2220</v>
      </c>
      <c r="C31" s="12">
        <v>0</v>
      </c>
    </row>
    <row r="32" spans="1:3">
      <c r="A32" s="10">
        <v>26</v>
      </c>
      <c r="B32" s="18" t="s">
        <v>2221</v>
      </c>
      <c r="C32" s="12">
        <v>0</v>
      </c>
    </row>
    <row r="33" spans="1:3">
      <c r="A33" s="10">
        <v>27</v>
      </c>
      <c r="B33" s="18" t="s">
        <v>2222</v>
      </c>
      <c r="C33" s="12">
        <v>0</v>
      </c>
    </row>
    <row r="34" spans="1:3">
      <c r="A34" s="10">
        <v>28</v>
      </c>
      <c r="B34" s="18" t="s">
        <v>2223</v>
      </c>
      <c r="C34" s="12">
        <v>0</v>
      </c>
    </row>
    <row r="35" spans="1:3">
      <c r="A35" s="10">
        <v>29</v>
      </c>
      <c r="B35" s="18" t="s">
        <v>2224</v>
      </c>
      <c r="C35" s="12">
        <v>0</v>
      </c>
    </row>
    <row r="36" spans="1:3">
      <c r="A36" s="10">
        <v>30</v>
      </c>
      <c r="B36" s="18" t="s">
        <v>2225</v>
      </c>
      <c r="C36" s="12">
        <v>0</v>
      </c>
    </row>
    <row r="37" spans="1:3">
      <c r="A37" s="10">
        <v>31</v>
      </c>
      <c r="B37" s="18" t="s">
        <v>2226</v>
      </c>
      <c r="C37" s="12">
        <v>0</v>
      </c>
    </row>
    <row r="38" spans="1:3">
      <c r="A38" s="10">
        <v>32</v>
      </c>
      <c r="B38" s="18" t="s">
        <v>2227</v>
      </c>
      <c r="C38" s="12">
        <v>0</v>
      </c>
    </row>
    <row r="39" spans="1:3">
      <c r="A39" s="10">
        <v>33</v>
      </c>
      <c r="B39" s="18" t="s">
        <v>2228</v>
      </c>
      <c r="C39" s="12">
        <v>0</v>
      </c>
    </row>
    <row r="40" spans="1:3">
      <c r="A40" s="10">
        <v>34</v>
      </c>
      <c r="B40" s="18" t="s">
        <v>2229</v>
      </c>
      <c r="C40" s="12">
        <v>0</v>
      </c>
    </row>
    <row r="41" spans="1:3">
      <c r="A41" s="10">
        <v>35</v>
      </c>
      <c r="B41" s="18" t="s">
        <v>2230</v>
      </c>
      <c r="C41" s="12">
        <v>0</v>
      </c>
    </row>
    <row r="42" spans="1:3">
      <c r="A42" s="10">
        <v>36</v>
      </c>
      <c r="B42" s="18" t="s">
        <v>2231</v>
      </c>
      <c r="C42" s="12">
        <v>0</v>
      </c>
    </row>
    <row r="43" spans="1:3">
      <c r="A43" s="10">
        <v>37</v>
      </c>
      <c r="B43" s="18" t="s">
        <v>2232</v>
      </c>
      <c r="C43" s="12">
        <v>0</v>
      </c>
    </row>
    <row r="44" spans="1:3">
      <c r="A44" s="10">
        <v>38</v>
      </c>
      <c r="B44" s="18" t="s">
        <v>2233</v>
      </c>
      <c r="C44" s="12">
        <v>0</v>
      </c>
    </row>
    <row r="45" spans="1:3">
      <c r="A45" s="10">
        <v>39</v>
      </c>
      <c r="B45" s="18" t="s">
        <v>2234</v>
      </c>
      <c r="C45" s="12">
        <v>0</v>
      </c>
    </row>
    <row r="46" spans="1:3">
      <c r="A46" s="10">
        <v>40</v>
      </c>
      <c r="B46" s="18" t="s">
        <v>2235</v>
      </c>
      <c r="C46" s="12">
        <v>0</v>
      </c>
    </row>
    <row r="47" spans="1:3">
      <c r="A47" s="10">
        <v>41</v>
      </c>
      <c r="B47" s="18" t="s">
        <v>2236</v>
      </c>
      <c r="C47" s="12">
        <v>0</v>
      </c>
    </row>
    <row r="48" spans="1:3">
      <c r="A48" s="10">
        <v>42</v>
      </c>
      <c r="B48" s="18" t="s">
        <v>2237</v>
      </c>
      <c r="C48" s="12">
        <v>0</v>
      </c>
    </row>
    <row r="49" spans="1:3">
      <c r="A49" s="10">
        <v>43</v>
      </c>
      <c r="B49" s="18" t="s">
        <v>2238</v>
      </c>
      <c r="C49" s="12">
        <v>0</v>
      </c>
    </row>
    <row r="50" spans="1:3">
      <c r="A50" s="10">
        <v>44</v>
      </c>
      <c r="B50" s="18" t="s">
        <v>2239</v>
      </c>
      <c r="C50" s="12">
        <v>0</v>
      </c>
    </row>
    <row r="51" spans="1:3">
      <c r="A51" s="10">
        <v>45</v>
      </c>
      <c r="B51" s="18" t="s">
        <v>2240</v>
      </c>
      <c r="C51" s="12">
        <f>[9]Sheet1!$Q$23</f>
        <v>16533</v>
      </c>
    </row>
    <row r="52" spans="1:3">
      <c r="A52" s="10">
        <v>46</v>
      </c>
      <c r="B52" s="18" t="s">
        <v>2241</v>
      </c>
      <c r="C52" s="12">
        <v>0</v>
      </c>
    </row>
    <row r="53" spans="1:3">
      <c r="A53" s="10">
        <v>47</v>
      </c>
      <c r="B53" s="18" t="s">
        <v>2242</v>
      </c>
      <c r="C53" s="12">
        <v>0</v>
      </c>
    </row>
    <row r="54" spans="1:3">
      <c r="A54" s="10">
        <v>48</v>
      </c>
      <c r="B54" s="18" t="s">
        <v>2243</v>
      </c>
      <c r="C54" s="12">
        <v>0</v>
      </c>
    </row>
    <row r="55" spans="1:3">
      <c r="A55" s="10">
        <v>49</v>
      </c>
      <c r="B55" s="18" t="s">
        <v>2244</v>
      </c>
      <c r="C55" s="12">
        <v>0</v>
      </c>
    </row>
    <row r="56" spans="1:3">
      <c r="A56" s="10">
        <v>50</v>
      </c>
      <c r="B56" s="18" t="s">
        <v>2245</v>
      </c>
      <c r="C56" s="12">
        <f>[10]Sheet1!$Q$23</f>
        <v>406909</v>
      </c>
    </row>
    <row r="57" spans="1:3">
      <c r="A57" s="10">
        <v>51</v>
      </c>
      <c r="B57" s="18" t="s">
        <v>2246</v>
      </c>
      <c r="C57" s="12">
        <f>[11]Sheet1!$Q$23</f>
        <v>261993</v>
      </c>
    </row>
    <row r="58" spans="1:3">
      <c r="A58" s="10">
        <v>52</v>
      </c>
      <c r="B58" s="18" t="s">
        <v>2247</v>
      </c>
      <c r="C58" s="12"/>
    </row>
    <row r="59" spans="1:3">
      <c r="A59" s="10">
        <v>53</v>
      </c>
      <c r="B59" s="18" t="s">
        <v>2248</v>
      </c>
      <c r="C59" s="12">
        <f>[12]Sheet1!$Q$23</f>
        <v>124483</v>
      </c>
    </row>
    <row r="60" spans="1:3">
      <c r="A60" s="10">
        <v>54</v>
      </c>
      <c r="B60" s="18" t="s">
        <v>2249</v>
      </c>
      <c r="C60" s="12">
        <f>[13]Sheet1!$Q$23</f>
        <v>628429</v>
      </c>
    </row>
    <row r="61" spans="1:3">
      <c r="A61" s="10">
        <v>55</v>
      </c>
      <c r="B61" s="18" t="s">
        <v>2250</v>
      </c>
      <c r="C61" s="12">
        <f>[14]Sheet1!$Q$23</f>
        <v>209898</v>
      </c>
    </row>
    <row r="62" spans="1:3">
      <c r="A62" s="10">
        <v>56</v>
      </c>
      <c r="B62" s="18" t="s">
        <v>2251</v>
      </c>
      <c r="C62" s="12">
        <v>0</v>
      </c>
    </row>
    <row r="63" spans="1:3">
      <c r="A63" s="10">
        <v>57</v>
      </c>
      <c r="B63" s="18" t="s">
        <v>2252</v>
      </c>
      <c r="C63" s="12">
        <f>[15]Sheet1!$Q$23</f>
        <v>1628181</v>
      </c>
    </row>
    <row r="64" spans="1:3">
      <c r="A64" s="10">
        <v>58</v>
      </c>
      <c r="B64" s="18" t="s">
        <v>2253</v>
      </c>
      <c r="C64" s="12">
        <f>[16]Sheet1!$Q$23</f>
        <v>276678</v>
      </c>
    </row>
    <row r="65" spans="1:3">
      <c r="A65" s="10">
        <v>59</v>
      </c>
      <c r="B65" s="18" t="s">
        <v>2254</v>
      </c>
      <c r="C65" s="12">
        <v>0</v>
      </c>
    </row>
    <row r="66" spans="1:3">
      <c r="A66" s="10">
        <v>60</v>
      </c>
      <c r="B66" s="18" t="s">
        <v>2255</v>
      </c>
      <c r="C66" s="12">
        <v>0</v>
      </c>
    </row>
    <row r="67" spans="1:3">
      <c r="A67" s="10">
        <v>61</v>
      </c>
      <c r="B67" s="18" t="s">
        <v>2256</v>
      </c>
      <c r="C67" s="12">
        <v>0</v>
      </c>
    </row>
    <row r="68" spans="1:3">
      <c r="A68" s="10">
        <v>62</v>
      </c>
      <c r="B68" s="18" t="s">
        <v>2257</v>
      </c>
      <c r="C68" s="12">
        <v>0</v>
      </c>
    </row>
    <row r="69" spans="1:3">
      <c r="A69" s="10">
        <v>63</v>
      </c>
      <c r="B69" s="18" t="s">
        <v>2258</v>
      </c>
      <c r="C69" s="12">
        <v>0</v>
      </c>
    </row>
    <row r="70" spans="1:3">
      <c r="A70" s="10">
        <v>64</v>
      </c>
      <c r="B70" s="18" t="s">
        <v>2259</v>
      </c>
      <c r="C70" s="12">
        <v>0</v>
      </c>
    </row>
    <row r="71" spans="1:3">
      <c r="A71" s="10">
        <v>65</v>
      </c>
      <c r="B71" s="18" t="s">
        <v>2260</v>
      </c>
      <c r="C71" s="12">
        <v>0</v>
      </c>
    </row>
    <row r="72" spans="1:3">
      <c r="A72" s="10">
        <v>66</v>
      </c>
      <c r="B72" s="18" t="s">
        <v>2261</v>
      </c>
      <c r="C72" s="12">
        <f>[17]Sheet1!$Q$23</f>
        <v>528018</v>
      </c>
    </row>
    <row r="73" spans="1:3">
      <c r="A73" s="10">
        <v>67</v>
      </c>
      <c r="B73" s="18" t="s">
        <v>2262</v>
      </c>
      <c r="C73" s="12">
        <f>[18]Sheet1!$Q$23</f>
        <v>8576</v>
      </c>
    </row>
    <row r="74" spans="1:3">
      <c r="A74" s="10">
        <v>68</v>
      </c>
      <c r="B74" s="18" t="s">
        <v>2263</v>
      </c>
      <c r="C74" s="12">
        <f>[19]Sheet1!$Q$23</f>
        <v>205626</v>
      </c>
    </row>
    <row r="75" spans="1:3">
      <c r="A75" s="10">
        <v>69</v>
      </c>
      <c r="B75" s="18" t="s">
        <v>2264</v>
      </c>
      <c r="C75" s="12">
        <v>0</v>
      </c>
    </row>
    <row r="76" spans="1:3">
      <c r="A76" s="10">
        <v>70</v>
      </c>
      <c r="B76" s="18" t="s">
        <v>2265</v>
      </c>
      <c r="C76" s="12">
        <v>0</v>
      </c>
    </row>
    <row r="77" spans="1:3">
      <c r="A77" s="10">
        <v>71</v>
      </c>
      <c r="B77" s="18" t="s">
        <v>2266</v>
      </c>
      <c r="C77" s="12">
        <v>0</v>
      </c>
    </row>
    <row r="78" spans="1:3">
      <c r="A78" s="10">
        <v>72</v>
      </c>
      <c r="B78" s="18" t="s">
        <v>2267</v>
      </c>
      <c r="C78" s="12">
        <v>0</v>
      </c>
    </row>
    <row r="79" spans="1:3">
      <c r="A79" s="10">
        <v>73</v>
      </c>
      <c r="B79" s="18" t="s">
        <v>2268</v>
      </c>
      <c r="C79" s="12">
        <v>0</v>
      </c>
    </row>
    <row r="80" spans="1:3">
      <c r="A80" s="10">
        <v>74</v>
      </c>
      <c r="B80" s="18" t="s">
        <v>2269</v>
      </c>
      <c r="C80" s="12">
        <v>0</v>
      </c>
    </row>
    <row r="81" spans="1:3">
      <c r="A81" s="10">
        <v>75</v>
      </c>
      <c r="B81" s="18" t="s">
        <v>2270</v>
      </c>
      <c r="C81" s="12">
        <v>0</v>
      </c>
    </row>
    <row r="82" spans="1:3">
      <c r="A82" s="10">
        <v>76</v>
      </c>
      <c r="B82" s="18" t="s">
        <v>2271</v>
      </c>
      <c r="C82" s="12">
        <v>0</v>
      </c>
    </row>
    <row r="83" spans="1:3">
      <c r="A83" s="10">
        <v>77</v>
      </c>
      <c r="B83" s="18" t="s">
        <v>2272</v>
      </c>
      <c r="C83" s="12">
        <v>0</v>
      </c>
    </row>
    <row r="84" spans="1:3">
      <c r="A84" s="10">
        <v>78</v>
      </c>
      <c r="B84" s="18" t="s">
        <v>2273</v>
      </c>
      <c r="C84" s="12">
        <v>0</v>
      </c>
    </row>
    <row r="85" spans="1:3">
      <c r="A85" s="10">
        <v>79</v>
      </c>
      <c r="B85" s="18" t="s">
        <v>2274</v>
      </c>
      <c r="C85" s="12">
        <v>0</v>
      </c>
    </row>
    <row r="86" spans="1:3">
      <c r="A86" s="10">
        <v>80</v>
      </c>
      <c r="B86" s="18" t="s">
        <v>2275</v>
      </c>
      <c r="C86" s="12">
        <v>0</v>
      </c>
    </row>
    <row r="87" spans="1:3">
      <c r="A87" s="10">
        <v>81</v>
      </c>
      <c r="B87" s="18" t="s">
        <v>2276</v>
      </c>
      <c r="C87" s="12">
        <v>0</v>
      </c>
    </row>
    <row r="88" spans="1:3">
      <c r="A88" s="10">
        <v>82</v>
      </c>
      <c r="B88" s="18" t="s">
        <v>2277</v>
      </c>
      <c r="C88" s="12">
        <v>0</v>
      </c>
    </row>
    <row r="89" spans="1:3">
      <c r="A89" s="10">
        <v>83</v>
      </c>
      <c r="B89" s="18" t="s">
        <v>2278</v>
      </c>
      <c r="C89" s="12">
        <v>0</v>
      </c>
    </row>
    <row r="90" spans="1:3">
      <c r="A90" s="10">
        <v>84</v>
      </c>
      <c r="B90" s="18" t="s">
        <v>2279</v>
      </c>
      <c r="C90" s="12">
        <v>0</v>
      </c>
    </row>
    <row r="91" spans="1:3">
      <c r="A91" s="10">
        <v>85</v>
      </c>
      <c r="B91" s="18" t="s">
        <v>2280</v>
      </c>
      <c r="C91" s="12">
        <v>0</v>
      </c>
    </row>
    <row r="92" spans="1:3">
      <c r="A92" s="10">
        <v>86</v>
      </c>
      <c r="B92" s="18" t="s">
        <v>2281</v>
      </c>
      <c r="C92" s="12">
        <v>0</v>
      </c>
    </row>
    <row r="93" spans="1:3" s="19" customFormat="1">
      <c r="A93" s="13">
        <v>87</v>
      </c>
      <c r="B93" s="15" t="s">
        <v>2282</v>
      </c>
      <c r="C93" s="12">
        <v>0</v>
      </c>
    </row>
    <row r="94" spans="1:3" s="19" customFormat="1">
      <c r="A94" s="13"/>
      <c r="B94" s="15"/>
      <c r="C94" s="12"/>
    </row>
    <row r="95" spans="1:3" s="19" customFormat="1">
      <c r="A95" s="2222" t="s">
        <v>9</v>
      </c>
      <c r="B95" s="2223"/>
      <c r="C95" s="16">
        <f>SUM(C7:C94)</f>
        <v>4328001</v>
      </c>
    </row>
  </sheetData>
  <mergeCells count="4">
    <mergeCell ref="A1:C1"/>
    <mergeCell ref="A2:C2"/>
    <mergeCell ref="A3:C3"/>
    <mergeCell ref="A95:B95"/>
  </mergeCells>
  <pageMargins left="1.0900000000000001" right="0.70866141732283472" top="0.74803149606299213" bottom="0.74803149606299213" header="0.31496062992125984" footer="0.31496062992125984"/>
  <pageSetup paperSize="9" scale="8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00B0F0"/>
  </sheetPr>
  <dimension ref="B1:G72"/>
  <sheetViews>
    <sheetView workbookViewId="0">
      <selection activeCell="G5" sqref="G5"/>
    </sheetView>
  </sheetViews>
  <sheetFormatPr defaultColWidth="9.140625" defaultRowHeight="12.75"/>
  <cols>
    <col min="1" max="1" width="2" style="460" customWidth="1"/>
    <col min="2" max="2" width="6" style="460" customWidth="1"/>
    <col min="3" max="3" width="23.85546875" style="460" customWidth="1"/>
    <col min="4" max="4" width="55.140625" style="460" customWidth="1"/>
    <col min="5" max="5" width="23.42578125" style="460" customWidth="1"/>
    <col min="6" max="6" width="28.42578125" style="460" customWidth="1"/>
    <col min="7" max="7" width="26.85546875" style="460" customWidth="1"/>
    <col min="8" max="16384" width="9.140625" style="460"/>
  </cols>
  <sheetData>
    <row r="1" spans="2:7" ht="15.75">
      <c r="B1" s="1386"/>
      <c r="C1" s="1386"/>
      <c r="D1" s="1386"/>
      <c r="E1" s="1386"/>
      <c r="F1" s="1386"/>
      <c r="G1" s="1386"/>
    </row>
    <row r="2" spans="2:7" ht="15">
      <c r="B2" s="1954" t="s">
        <v>0</v>
      </c>
      <c r="C2" s="1954"/>
      <c r="D2" s="1954"/>
      <c r="E2" s="1954"/>
      <c r="F2" s="1954"/>
      <c r="G2" s="1954"/>
    </row>
    <row r="3" spans="2:7" ht="15">
      <c r="B3" s="1954" t="s">
        <v>112</v>
      </c>
      <c r="C3" s="1954"/>
      <c r="D3" s="1954"/>
      <c r="E3" s="1954"/>
      <c r="F3" s="1954"/>
      <c r="G3" s="1954"/>
    </row>
    <row r="4" spans="2:7" ht="15">
      <c r="B4" s="1954" t="s">
        <v>2</v>
      </c>
      <c r="C4" s="1954"/>
      <c r="D4" s="1954"/>
      <c r="E4" s="1954"/>
      <c r="F4" s="1954"/>
      <c r="G4" s="1954"/>
    </row>
    <row r="5" spans="2:7">
      <c r="B5" s="1387"/>
      <c r="C5" s="1387"/>
      <c r="D5" s="1387"/>
      <c r="E5" s="1387"/>
      <c r="F5" s="1387"/>
      <c r="G5" s="459" t="s">
        <v>3</v>
      </c>
    </row>
    <row r="6" spans="2:7" ht="27.75" customHeight="1">
      <c r="B6" s="1967" t="s">
        <v>4</v>
      </c>
      <c r="C6" s="1967" t="s">
        <v>113</v>
      </c>
      <c r="D6" s="1967" t="s">
        <v>114</v>
      </c>
      <c r="E6" s="1967" t="s">
        <v>115</v>
      </c>
      <c r="F6" s="1967" t="s">
        <v>116</v>
      </c>
      <c r="G6" s="1967" t="s">
        <v>117</v>
      </c>
    </row>
    <row r="7" spans="2:7">
      <c r="B7" s="1958"/>
      <c r="C7" s="1958"/>
      <c r="D7" s="1958"/>
      <c r="E7" s="1958"/>
      <c r="F7" s="1958"/>
      <c r="G7" s="1958"/>
    </row>
    <row r="8" spans="2:7">
      <c r="B8" s="1388"/>
      <c r="C8" s="1388">
        <v>1</v>
      </c>
      <c r="D8" s="1388">
        <v>2</v>
      </c>
      <c r="E8" s="1388">
        <v>3</v>
      </c>
      <c r="F8" s="1388">
        <v>4</v>
      </c>
      <c r="G8" s="1388">
        <v>5</v>
      </c>
    </row>
    <row r="9" spans="2:7">
      <c r="B9" s="1389"/>
      <c r="C9" s="1389"/>
      <c r="D9" s="1389"/>
      <c r="E9" s="1389"/>
      <c r="F9" s="1389"/>
      <c r="G9" s="1389"/>
    </row>
    <row r="10" spans="2:7">
      <c r="B10" s="1390">
        <v>1</v>
      </c>
      <c r="C10" s="1391"/>
      <c r="D10" s="1392" t="s">
        <v>118</v>
      </c>
      <c r="E10" s="1393">
        <v>0</v>
      </c>
      <c r="F10" s="1393">
        <v>0</v>
      </c>
      <c r="G10" s="1393">
        <v>5053232000</v>
      </c>
    </row>
    <row r="11" spans="2:7" ht="25.5">
      <c r="B11" s="1394">
        <v>2</v>
      </c>
      <c r="C11" s="1395">
        <v>43162</v>
      </c>
      <c r="D11" s="1396" t="s">
        <v>119</v>
      </c>
      <c r="E11" s="1397">
        <v>0</v>
      </c>
      <c r="F11" s="1398">
        <v>388920000</v>
      </c>
      <c r="G11" s="1393">
        <f>SUM(G10+E11-F11)</f>
        <v>4664312000</v>
      </c>
    </row>
    <row r="12" spans="2:7">
      <c r="B12" s="1399">
        <v>3</v>
      </c>
      <c r="C12" s="1400">
        <v>43184</v>
      </c>
      <c r="D12" s="1401" t="s">
        <v>120</v>
      </c>
      <c r="E12" s="1397">
        <v>49686120000</v>
      </c>
      <c r="F12" s="1398">
        <v>0</v>
      </c>
      <c r="G12" s="1393">
        <f t="shared" ref="G12:G17" si="0">SUM(G11+E12-F12)</f>
        <v>54350432000</v>
      </c>
    </row>
    <row r="13" spans="2:7">
      <c r="B13" s="1399">
        <v>4</v>
      </c>
      <c r="C13" s="1400">
        <v>43196</v>
      </c>
      <c r="D13" s="1401" t="s">
        <v>121</v>
      </c>
      <c r="E13" s="1397">
        <v>0</v>
      </c>
      <c r="F13" s="1398">
        <v>37724520000</v>
      </c>
      <c r="G13" s="1393">
        <f t="shared" si="0"/>
        <v>16625912000</v>
      </c>
    </row>
    <row r="14" spans="2:7">
      <c r="B14" s="1399">
        <v>5</v>
      </c>
      <c r="C14" s="1400">
        <v>43196</v>
      </c>
      <c r="D14" s="1401" t="s">
        <v>122</v>
      </c>
      <c r="E14" s="1397">
        <v>0</v>
      </c>
      <c r="F14" s="1398">
        <v>61200000</v>
      </c>
      <c r="G14" s="1393">
        <f t="shared" si="0"/>
        <v>16564712000</v>
      </c>
    </row>
    <row r="15" spans="2:7">
      <c r="B15" s="1399">
        <v>6</v>
      </c>
      <c r="C15" s="1400">
        <v>43199</v>
      </c>
      <c r="D15" s="1401" t="s">
        <v>123</v>
      </c>
      <c r="E15" s="1397">
        <v>0</v>
      </c>
      <c r="F15" s="1398">
        <v>1581720000</v>
      </c>
      <c r="G15" s="1393">
        <f t="shared" si="0"/>
        <v>14982992000</v>
      </c>
    </row>
    <row r="16" spans="2:7">
      <c r="B16" s="1399">
        <v>7</v>
      </c>
      <c r="C16" s="1400">
        <v>43202</v>
      </c>
      <c r="D16" s="1401" t="s">
        <v>124</v>
      </c>
      <c r="E16" s="1397">
        <v>0</v>
      </c>
      <c r="F16" s="1398">
        <v>1162000000</v>
      </c>
      <c r="G16" s="1393">
        <f t="shared" si="0"/>
        <v>13820992000</v>
      </c>
    </row>
    <row r="17" spans="2:7">
      <c r="B17" s="1399">
        <v>8</v>
      </c>
      <c r="C17" s="1400"/>
      <c r="D17" s="1401"/>
      <c r="E17" s="1397"/>
      <c r="F17" s="1398">
        <v>11576240000</v>
      </c>
      <c r="G17" s="1393">
        <f t="shared" si="0"/>
        <v>2244752000</v>
      </c>
    </row>
    <row r="18" spans="2:7">
      <c r="B18" s="1394">
        <v>9</v>
      </c>
      <c r="C18" s="1400">
        <v>43220</v>
      </c>
      <c r="D18" s="1401" t="s">
        <v>125</v>
      </c>
      <c r="E18" s="1397">
        <v>105236960000</v>
      </c>
      <c r="F18" s="1398">
        <v>0</v>
      </c>
      <c r="G18" s="1393">
        <f>G17+E18-F18</f>
        <v>107481712000</v>
      </c>
    </row>
    <row r="19" spans="2:7">
      <c r="B19" s="1394">
        <v>10</v>
      </c>
      <c r="C19" s="1400">
        <v>43258</v>
      </c>
      <c r="D19" s="1396" t="s">
        <v>126</v>
      </c>
      <c r="E19" s="1397">
        <v>0</v>
      </c>
      <c r="F19" s="1402">
        <v>3144960000</v>
      </c>
      <c r="G19" s="1393">
        <f t="shared" ref="G19:G31" si="1">SUM(G18+E19-F19)</f>
        <v>104336752000</v>
      </c>
    </row>
    <row r="20" spans="2:7">
      <c r="B20" s="1403">
        <v>11</v>
      </c>
      <c r="C20" s="1395">
        <v>43258</v>
      </c>
      <c r="D20" s="1396" t="s">
        <v>127</v>
      </c>
      <c r="E20" s="1397">
        <v>0</v>
      </c>
      <c r="F20" s="1402">
        <v>75562560000</v>
      </c>
      <c r="G20" s="1393">
        <f t="shared" si="1"/>
        <v>28774192000</v>
      </c>
    </row>
    <row r="21" spans="2:7">
      <c r="B21" s="1403">
        <v>12</v>
      </c>
      <c r="C21" s="1395">
        <v>43258</v>
      </c>
      <c r="D21" s="1396" t="s">
        <v>128</v>
      </c>
      <c r="E21" s="1397">
        <v>0</v>
      </c>
      <c r="F21" s="1402">
        <v>2336880000</v>
      </c>
      <c r="G21" s="1393">
        <f t="shared" si="1"/>
        <v>26437312000</v>
      </c>
    </row>
    <row r="22" spans="2:7">
      <c r="B22" s="1403">
        <v>13</v>
      </c>
      <c r="C22" s="1395">
        <v>43258</v>
      </c>
      <c r="D22" s="1396" t="s">
        <v>129</v>
      </c>
      <c r="E22" s="1397">
        <v>0</v>
      </c>
      <c r="F22" s="1402">
        <v>122400000</v>
      </c>
      <c r="G22" s="1393">
        <f t="shared" si="1"/>
        <v>26314912000</v>
      </c>
    </row>
    <row r="23" spans="2:7">
      <c r="B23" s="1404">
        <v>14</v>
      </c>
      <c r="C23" s="1395"/>
      <c r="D23" s="1396"/>
      <c r="E23" s="1397">
        <v>0</v>
      </c>
      <c r="F23" s="1402">
        <v>23604939115</v>
      </c>
      <c r="G23" s="1393">
        <f t="shared" si="1"/>
        <v>2709972885</v>
      </c>
    </row>
    <row r="24" spans="2:7">
      <c r="B24" s="1403">
        <v>15</v>
      </c>
      <c r="C24" s="1400">
        <v>43380</v>
      </c>
      <c r="D24" s="1401" t="s">
        <v>130</v>
      </c>
      <c r="E24" s="1397">
        <v>49520208000</v>
      </c>
      <c r="F24" s="1402">
        <v>0</v>
      </c>
      <c r="G24" s="1397">
        <f t="shared" si="1"/>
        <v>52230180885</v>
      </c>
    </row>
    <row r="25" spans="2:7" ht="12" customHeight="1">
      <c r="B25" s="1403">
        <v>16</v>
      </c>
      <c r="C25" s="1395">
        <v>43378</v>
      </c>
      <c r="D25" s="1396" t="s">
        <v>131</v>
      </c>
      <c r="E25" s="1397">
        <v>0</v>
      </c>
      <c r="F25" s="1402">
        <v>61200000</v>
      </c>
      <c r="G25" s="1397">
        <f t="shared" si="1"/>
        <v>52168980885</v>
      </c>
    </row>
    <row r="26" spans="2:7" ht="14.25" customHeight="1">
      <c r="B26" s="1403">
        <v>17</v>
      </c>
      <c r="C26" s="1395">
        <v>43379</v>
      </c>
      <c r="D26" s="1396" t="s">
        <v>132</v>
      </c>
      <c r="E26" s="1397">
        <v>0</v>
      </c>
      <c r="F26" s="1402">
        <v>37650760000</v>
      </c>
      <c r="G26" s="1397">
        <f t="shared" si="1"/>
        <v>14518220885</v>
      </c>
    </row>
    <row r="27" spans="2:7" ht="14.25" customHeight="1">
      <c r="B27" s="1403">
        <v>18</v>
      </c>
      <c r="C27" s="1395">
        <v>43382</v>
      </c>
      <c r="D27" s="1396" t="s">
        <v>133</v>
      </c>
      <c r="E27" s="1397">
        <v>0</v>
      </c>
      <c r="F27" s="1402">
        <v>1557920000</v>
      </c>
      <c r="G27" s="1397">
        <f t="shared" si="1"/>
        <v>12960300885</v>
      </c>
    </row>
    <row r="28" spans="2:7" ht="14.25" customHeight="1">
      <c r="B28" s="1403">
        <v>19</v>
      </c>
      <c r="C28" s="1395">
        <v>43382</v>
      </c>
      <c r="D28" s="1396" t="s">
        <v>134</v>
      </c>
      <c r="E28" s="1397">
        <v>0</v>
      </c>
      <c r="F28" s="1402">
        <v>1165360000</v>
      </c>
      <c r="G28" s="1405">
        <f t="shared" si="1"/>
        <v>11794940885</v>
      </c>
    </row>
    <row r="29" spans="2:7" ht="14.25" customHeight="1">
      <c r="B29" s="1399">
        <v>20</v>
      </c>
      <c r="C29" s="1406"/>
      <c r="D29" s="1396"/>
      <c r="E29" s="1397">
        <v>0</v>
      </c>
      <c r="F29" s="1402">
        <v>9876405410</v>
      </c>
      <c r="G29" s="1405">
        <f t="shared" si="1"/>
        <v>1918535475</v>
      </c>
    </row>
    <row r="30" spans="2:7">
      <c r="B30" s="1399">
        <v>21</v>
      </c>
      <c r="C30" s="1407">
        <v>43439</v>
      </c>
      <c r="D30" s="1401" t="s">
        <v>135</v>
      </c>
      <c r="E30" s="1397">
        <v>53181480000</v>
      </c>
      <c r="F30" s="1402">
        <v>0</v>
      </c>
      <c r="G30" s="1397">
        <f t="shared" si="1"/>
        <v>55100015475</v>
      </c>
    </row>
    <row r="31" spans="2:7" ht="14.25" customHeight="1">
      <c r="B31" s="1399">
        <v>22</v>
      </c>
      <c r="C31" s="1407">
        <v>43454</v>
      </c>
      <c r="D31" s="1396" t="s">
        <v>136</v>
      </c>
      <c r="E31" s="1397">
        <v>0</v>
      </c>
      <c r="F31" s="1402">
        <v>1602440000</v>
      </c>
      <c r="G31" s="1397">
        <f t="shared" si="1"/>
        <v>53497575475</v>
      </c>
    </row>
    <row r="32" spans="2:7" ht="14.25" customHeight="1">
      <c r="B32" s="1399">
        <v>23</v>
      </c>
      <c r="C32" s="1407">
        <v>43454</v>
      </c>
      <c r="D32" s="1396" t="s">
        <v>137</v>
      </c>
      <c r="E32" s="1397">
        <v>0</v>
      </c>
      <c r="F32" s="1402">
        <v>36030440000</v>
      </c>
      <c r="G32" s="1397">
        <f>G31+E32-F32</f>
        <v>17467135475</v>
      </c>
    </row>
    <row r="33" spans="2:7" ht="14.25" customHeight="1">
      <c r="B33" s="1399">
        <v>24</v>
      </c>
      <c r="C33" s="1407">
        <v>43454</v>
      </c>
      <c r="D33" s="1396" t="s">
        <v>138</v>
      </c>
      <c r="E33" s="1397">
        <v>0</v>
      </c>
      <c r="F33" s="1402">
        <v>42000000</v>
      </c>
      <c r="G33" s="1397">
        <f>G32+E33-F33</f>
        <v>17425135475</v>
      </c>
    </row>
    <row r="34" spans="2:7" ht="14.25" customHeight="1">
      <c r="B34" s="1399">
        <v>25</v>
      </c>
      <c r="C34" s="1407">
        <v>43454</v>
      </c>
      <c r="D34" s="1396" t="s">
        <v>139</v>
      </c>
      <c r="E34" s="1397">
        <v>0</v>
      </c>
      <c r="F34" s="1402">
        <v>1307600000</v>
      </c>
      <c r="G34" s="1397">
        <f>G33+E34-F34</f>
        <v>16117535475</v>
      </c>
    </row>
    <row r="35" spans="2:7">
      <c r="B35" s="1399">
        <v>26</v>
      </c>
      <c r="C35" s="1407">
        <v>43462</v>
      </c>
      <c r="D35" s="1401" t="s">
        <v>140</v>
      </c>
      <c r="E35" s="1397">
        <v>0</v>
      </c>
      <c r="F35" s="1402">
        <v>96000000</v>
      </c>
      <c r="G35" s="1397">
        <f>G34+E35-F35</f>
        <v>16021535475</v>
      </c>
    </row>
    <row r="36" spans="2:7">
      <c r="B36" s="1408"/>
      <c r="C36" s="1409"/>
      <c r="D36" s="1410"/>
      <c r="E36" s="1411">
        <v>0</v>
      </c>
      <c r="F36" s="1412">
        <v>12537875475</v>
      </c>
      <c r="G36" s="1411">
        <f>SUM(G35+E36-F36)</f>
        <v>3483660000</v>
      </c>
    </row>
    <row r="37" spans="2:7" ht="15" customHeight="1">
      <c r="B37" s="1408"/>
      <c r="C37" s="1413"/>
      <c r="D37" s="1413"/>
      <c r="E37" s="1414">
        <f>SUM(E10:E36)</f>
        <v>257624768000</v>
      </c>
      <c r="F37" s="1415">
        <f>SUM(F10:F36)</f>
        <v>259194340000</v>
      </c>
      <c r="G37" s="1414">
        <f>SUM(E37-F37)</f>
        <v>-1569572000</v>
      </c>
    </row>
    <row r="54" spans="6:6">
      <c r="F54" s="1393">
        <v>2336880000</v>
      </c>
    </row>
    <row r="55" spans="6:6">
      <c r="F55" s="1393">
        <v>75562560000</v>
      </c>
    </row>
    <row r="56" spans="6:6">
      <c r="F56" s="1393">
        <v>3144960000</v>
      </c>
    </row>
    <row r="57" spans="6:6">
      <c r="F57" s="1393">
        <v>1162000000</v>
      </c>
    </row>
    <row r="58" spans="6:6">
      <c r="F58" s="1393">
        <v>1581220000</v>
      </c>
    </row>
    <row r="59" spans="6:6">
      <c r="F59" s="1393">
        <v>61200000</v>
      </c>
    </row>
    <row r="60" spans="6:6">
      <c r="F60" s="1393">
        <v>37724520000</v>
      </c>
    </row>
    <row r="61" spans="6:6">
      <c r="F61" s="1393">
        <v>388920000</v>
      </c>
    </row>
    <row r="62" spans="6:6">
      <c r="F62" s="1393">
        <v>122400000</v>
      </c>
    </row>
    <row r="63" spans="6:6">
      <c r="F63" s="1393">
        <v>61200000</v>
      </c>
    </row>
    <row r="64" spans="6:6">
      <c r="F64" s="1393">
        <v>37650760000</v>
      </c>
    </row>
    <row r="65" spans="6:6">
      <c r="F65" s="1393">
        <v>1557920000</v>
      </c>
    </row>
    <row r="66" spans="6:6">
      <c r="F66" s="1393">
        <v>1165360000</v>
      </c>
    </row>
    <row r="67" spans="6:6">
      <c r="F67" s="1393">
        <v>1602440000</v>
      </c>
    </row>
    <row r="68" spans="6:6">
      <c r="F68" s="1393">
        <v>36030440000</v>
      </c>
    </row>
    <row r="69" spans="6:6">
      <c r="F69" s="1393">
        <v>42000000</v>
      </c>
    </row>
    <row r="70" spans="6:6">
      <c r="F70" s="1393">
        <v>1307600000</v>
      </c>
    </row>
    <row r="71" spans="6:6">
      <c r="F71" s="1393">
        <v>96000000</v>
      </c>
    </row>
    <row r="72" spans="6:6">
      <c r="F72" s="1393">
        <f>SUM(F54:F71)</f>
        <v>201598380000</v>
      </c>
    </row>
  </sheetData>
  <mergeCells count="9">
    <mergeCell ref="B2:G2"/>
    <mergeCell ref="B3:G3"/>
    <mergeCell ref="B4:G4"/>
    <mergeCell ref="B6:B7"/>
    <mergeCell ref="C6:C7"/>
    <mergeCell ref="D6:D7"/>
    <mergeCell ref="E6:E7"/>
    <mergeCell ref="F6:F7"/>
    <mergeCell ref="G6:G7"/>
  </mergeCells>
  <pageMargins left="0.9" right="0.15972222222222199" top="0.69" bottom="0.75" header="0.30972222222222201" footer="0.30972222222222201"/>
  <pageSetup paperSize="125" scale="80" orientation="landscape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>
  <sheetPr>
    <tabColor rgb="FF00B0F0"/>
  </sheetPr>
  <dimension ref="A1:D98"/>
  <sheetViews>
    <sheetView workbookViewId="0">
      <selection activeCell="C7" sqref="C7"/>
    </sheetView>
  </sheetViews>
  <sheetFormatPr defaultColWidth="8.85546875" defaultRowHeight="15"/>
  <cols>
    <col min="1" max="1" width="7.7109375" style="1" customWidth="1"/>
    <col min="2" max="2" width="60.140625" style="2" customWidth="1"/>
    <col min="3" max="3" width="22.7109375" style="3" customWidth="1"/>
    <col min="4" max="16384" width="8.85546875" style="2"/>
  </cols>
  <sheetData>
    <row r="1" spans="1:3">
      <c r="A1" s="1954" t="s">
        <v>0</v>
      </c>
      <c r="B1" s="1954"/>
      <c r="C1" s="1954"/>
    </row>
    <row r="2" spans="1:3">
      <c r="A2" s="1954" t="s">
        <v>2383</v>
      </c>
      <c r="B2" s="1954"/>
      <c r="C2" s="1954"/>
    </row>
    <row r="3" spans="1:3">
      <c r="A3" s="1954" t="s">
        <v>2</v>
      </c>
      <c r="B3" s="1954"/>
      <c r="C3" s="1954"/>
    </row>
    <row r="4" spans="1:3">
      <c r="A4" s="4"/>
      <c r="B4" s="5"/>
      <c r="C4" s="6"/>
    </row>
    <row r="5" spans="1:3">
      <c r="C5" s="7" t="s">
        <v>2162</v>
      </c>
    </row>
    <row r="6" spans="1:3" ht="30">
      <c r="A6" s="8" t="s">
        <v>1546</v>
      </c>
      <c r="B6" s="8" t="s">
        <v>2193</v>
      </c>
      <c r="C6" s="9" t="s">
        <v>2384</v>
      </c>
    </row>
    <row r="7" spans="1:3">
      <c r="A7" s="10">
        <v>1</v>
      </c>
      <c r="B7" s="18" t="s">
        <v>2196</v>
      </c>
      <c r="C7" s="12">
        <v>0</v>
      </c>
    </row>
    <row r="8" spans="1:3">
      <c r="A8" s="10">
        <v>2</v>
      </c>
      <c r="B8" s="18" t="s">
        <v>2197</v>
      </c>
      <c r="C8" s="12">
        <v>0</v>
      </c>
    </row>
    <row r="9" spans="1:3">
      <c r="A9" s="10">
        <v>3</v>
      </c>
      <c r="B9" s="18" t="s">
        <v>2198</v>
      </c>
      <c r="C9" s="12">
        <v>0</v>
      </c>
    </row>
    <row r="10" spans="1:3">
      <c r="A10" s="10">
        <v>4</v>
      </c>
      <c r="B10" s="18" t="s">
        <v>2199</v>
      </c>
      <c r="C10" s="12">
        <v>0</v>
      </c>
    </row>
    <row r="11" spans="1:3">
      <c r="A11" s="10">
        <v>5</v>
      </c>
      <c r="B11" s="18" t="s">
        <v>2200</v>
      </c>
      <c r="C11" s="12">
        <v>0</v>
      </c>
    </row>
    <row r="12" spans="1:3">
      <c r="A12" s="10">
        <v>6</v>
      </c>
      <c r="B12" s="18" t="s">
        <v>2201</v>
      </c>
      <c r="C12" s="12">
        <v>0</v>
      </c>
    </row>
    <row r="13" spans="1:3">
      <c r="A13" s="10">
        <v>7</v>
      </c>
      <c r="B13" s="18" t="s">
        <v>2202</v>
      </c>
      <c r="C13" s="12">
        <v>0</v>
      </c>
    </row>
    <row r="14" spans="1:3">
      <c r="A14" s="10">
        <v>8</v>
      </c>
      <c r="B14" s="18" t="s">
        <v>2203</v>
      </c>
      <c r="C14" s="12">
        <v>0</v>
      </c>
    </row>
    <row r="15" spans="1:3">
      <c r="A15" s="10">
        <v>9</v>
      </c>
      <c r="B15" s="18" t="s">
        <v>2204</v>
      </c>
      <c r="C15" s="12">
        <v>0</v>
      </c>
    </row>
    <row r="16" spans="1:3">
      <c r="A16" s="10">
        <v>10</v>
      </c>
      <c r="B16" s="18" t="s">
        <v>2205</v>
      </c>
      <c r="C16" s="12">
        <v>0</v>
      </c>
    </row>
    <row r="17" spans="1:3">
      <c r="A17" s="10">
        <v>11</v>
      </c>
      <c r="B17" s="18" t="s">
        <v>2206</v>
      </c>
      <c r="C17" s="12">
        <v>0</v>
      </c>
    </row>
    <row r="18" spans="1:3">
      <c r="A18" s="10">
        <v>12</v>
      </c>
      <c r="B18" s="18" t="s">
        <v>2207</v>
      </c>
      <c r="C18" s="12">
        <v>0</v>
      </c>
    </row>
    <row r="19" spans="1:3">
      <c r="A19" s="10">
        <v>13</v>
      </c>
      <c r="B19" s="18" t="s">
        <v>2208</v>
      </c>
      <c r="C19" s="12">
        <v>0</v>
      </c>
    </row>
    <row r="20" spans="1:3">
      <c r="A20" s="10">
        <v>14</v>
      </c>
      <c r="B20" s="18" t="s">
        <v>2209</v>
      </c>
      <c r="C20" s="12">
        <v>0</v>
      </c>
    </row>
    <row r="21" spans="1:3">
      <c r="A21" s="10">
        <v>15</v>
      </c>
      <c r="B21" s="18" t="s">
        <v>2210</v>
      </c>
      <c r="C21" s="12">
        <v>0</v>
      </c>
    </row>
    <row r="22" spans="1:3">
      <c r="A22" s="10">
        <v>16</v>
      </c>
      <c r="B22" s="18" t="s">
        <v>2211</v>
      </c>
      <c r="C22" s="12">
        <v>0</v>
      </c>
    </row>
    <row r="23" spans="1:3">
      <c r="A23" s="10">
        <v>17</v>
      </c>
      <c r="B23" s="18" t="s">
        <v>2212</v>
      </c>
      <c r="C23" s="12">
        <v>0</v>
      </c>
    </row>
    <row r="24" spans="1:3">
      <c r="A24" s="10">
        <v>18</v>
      </c>
      <c r="B24" s="18" t="s">
        <v>2213</v>
      </c>
      <c r="C24" s="12">
        <v>0</v>
      </c>
    </row>
    <row r="25" spans="1:3">
      <c r="A25" s="10">
        <v>19</v>
      </c>
      <c r="B25" s="18" t="s">
        <v>2214</v>
      </c>
      <c r="C25" s="12">
        <v>0</v>
      </c>
    </row>
    <row r="26" spans="1:3">
      <c r="A26" s="10">
        <v>20</v>
      </c>
      <c r="B26" s="18" t="s">
        <v>2215</v>
      </c>
      <c r="C26" s="12">
        <v>0</v>
      </c>
    </row>
    <row r="27" spans="1:3">
      <c r="A27" s="10">
        <v>21</v>
      </c>
      <c r="B27" s="18" t="s">
        <v>2216</v>
      </c>
      <c r="C27" s="12">
        <v>0</v>
      </c>
    </row>
    <row r="28" spans="1:3">
      <c r="A28" s="10">
        <v>22</v>
      </c>
      <c r="B28" s="18" t="s">
        <v>2217</v>
      </c>
      <c r="C28" s="12">
        <v>0</v>
      </c>
    </row>
    <row r="29" spans="1:3">
      <c r="A29" s="10">
        <v>23</v>
      </c>
      <c r="B29" s="18" t="s">
        <v>2218</v>
      </c>
      <c r="C29" s="12">
        <f>[20]Sheet1!$Q$23</f>
        <v>223201</v>
      </c>
    </row>
    <row r="30" spans="1:3">
      <c r="A30" s="10">
        <v>24</v>
      </c>
      <c r="B30" s="18" t="s">
        <v>2219</v>
      </c>
      <c r="C30" s="12">
        <v>0</v>
      </c>
    </row>
    <row r="31" spans="1:3">
      <c r="A31" s="10">
        <v>25</v>
      </c>
      <c r="B31" s="18" t="s">
        <v>2220</v>
      </c>
      <c r="C31" s="12">
        <v>0</v>
      </c>
    </row>
    <row r="32" spans="1:3">
      <c r="A32" s="10">
        <v>26</v>
      </c>
      <c r="B32" s="18" t="s">
        <v>2221</v>
      </c>
      <c r="C32" s="12">
        <v>0</v>
      </c>
    </row>
    <row r="33" spans="1:3">
      <c r="A33" s="10">
        <v>27</v>
      </c>
      <c r="B33" s="18" t="s">
        <v>2222</v>
      </c>
      <c r="C33" s="12">
        <v>0</v>
      </c>
    </row>
    <row r="34" spans="1:3">
      <c r="A34" s="10">
        <v>28</v>
      </c>
      <c r="B34" s="18" t="s">
        <v>2223</v>
      </c>
      <c r="C34" s="12">
        <v>0</v>
      </c>
    </row>
    <row r="35" spans="1:3">
      <c r="A35" s="10">
        <v>29</v>
      </c>
      <c r="B35" s="18" t="s">
        <v>2224</v>
      </c>
      <c r="C35" s="12">
        <v>0</v>
      </c>
    </row>
    <row r="36" spans="1:3">
      <c r="A36" s="10">
        <v>30</v>
      </c>
      <c r="B36" s="18" t="s">
        <v>2225</v>
      </c>
      <c r="C36" s="12">
        <v>0</v>
      </c>
    </row>
    <row r="37" spans="1:3">
      <c r="A37" s="10">
        <v>31</v>
      </c>
      <c r="B37" s="18" t="s">
        <v>2226</v>
      </c>
      <c r="C37" s="12">
        <v>0</v>
      </c>
    </row>
    <row r="38" spans="1:3">
      <c r="A38" s="10">
        <v>32</v>
      </c>
      <c r="B38" s="18" t="s">
        <v>2227</v>
      </c>
      <c r="C38" s="12">
        <v>0</v>
      </c>
    </row>
    <row r="39" spans="1:3">
      <c r="A39" s="10">
        <v>33</v>
      </c>
      <c r="B39" s="18" t="s">
        <v>2228</v>
      </c>
      <c r="C39" s="12">
        <v>0</v>
      </c>
    </row>
    <row r="40" spans="1:3">
      <c r="A40" s="10">
        <v>34</v>
      </c>
      <c r="B40" s="18" t="s">
        <v>2229</v>
      </c>
      <c r="C40" s="12">
        <v>0</v>
      </c>
    </row>
    <row r="41" spans="1:3">
      <c r="A41" s="10">
        <v>35</v>
      </c>
      <c r="B41" s="18" t="s">
        <v>2230</v>
      </c>
      <c r="C41" s="12">
        <v>0</v>
      </c>
    </row>
    <row r="42" spans="1:3">
      <c r="A42" s="10">
        <v>36</v>
      </c>
      <c r="B42" s="18" t="s">
        <v>2231</v>
      </c>
      <c r="C42" s="12">
        <v>0</v>
      </c>
    </row>
    <row r="43" spans="1:3">
      <c r="A43" s="10">
        <v>37</v>
      </c>
      <c r="B43" s="18" t="s">
        <v>2232</v>
      </c>
      <c r="C43" s="12">
        <f>[21]Sheet1!$Q$23</f>
        <v>85473</v>
      </c>
    </row>
    <row r="44" spans="1:3">
      <c r="A44" s="10">
        <v>38</v>
      </c>
      <c r="B44" s="18" t="s">
        <v>2233</v>
      </c>
      <c r="C44" s="12">
        <v>0</v>
      </c>
    </row>
    <row r="45" spans="1:3">
      <c r="A45" s="10">
        <v>39</v>
      </c>
      <c r="B45" s="18" t="s">
        <v>2234</v>
      </c>
      <c r="C45" s="12">
        <v>0</v>
      </c>
    </row>
    <row r="46" spans="1:3">
      <c r="A46" s="10">
        <v>40</v>
      </c>
      <c r="B46" s="18" t="s">
        <v>2235</v>
      </c>
      <c r="C46" s="12">
        <v>0</v>
      </c>
    </row>
    <row r="47" spans="1:3">
      <c r="A47" s="10">
        <v>41</v>
      </c>
      <c r="B47" s="18" t="s">
        <v>2236</v>
      </c>
      <c r="C47" s="12">
        <v>0</v>
      </c>
    </row>
    <row r="48" spans="1:3">
      <c r="A48" s="10">
        <v>42</v>
      </c>
      <c r="B48" s="18" t="s">
        <v>2237</v>
      </c>
      <c r="C48" s="12">
        <v>0</v>
      </c>
    </row>
    <row r="49" spans="1:3">
      <c r="A49" s="10">
        <v>43</v>
      </c>
      <c r="B49" s="18" t="s">
        <v>2238</v>
      </c>
      <c r="C49" s="12">
        <v>0</v>
      </c>
    </row>
    <row r="50" spans="1:3">
      <c r="A50" s="10">
        <v>44</v>
      </c>
      <c r="B50" s="18" t="s">
        <v>2239</v>
      </c>
      <c r="C50" s="12">
        <f>[22]Sheet1!$Q$23</f>
        <v>256546</v>
      </c>
    </row>
    <row r="51" spans="1:3">
      <c r="A51" s="10">
        <v>45</v>
      </c>
      <c r="B51" s="18" t="s">
        <v>2240</v>
      </c>
      <c r="C51" s="12">
        <v>0</v>
      </c>
    </row>
    <row r="52" spans="1:3">
      <c r="A52" s="10">
        <v>46</v>
      </c>
      <c r="B52" s="18" t="s">
        <v>2241</v>
      </c>
      <c r="C52" s="12">
        <v>0</v>
      </c>
    </row>
    <row r="53" spans="1:3">
      <c r="A53" s="10">
        <v>47</v>
      </c>
      <c r="B53" s="18" t="s">
        <v>2242</v>
      </c>
      <c r="C53" s="12">
        <v>0</v>
      </c>
    </row>
    <row r="54" spans="1:3">
      <c r="A54" s="10">
        <v>48</v>
      </c>
      <c r="B54" s="18" t="s">
        <v>2243</v>
      </c>
      <c r="C54" s="12">
        <v>0</v>
      </c>
    </row>
    <row r="55" spans="1:3">
      <c r="A55" s="10">
        <v>49</v>
      </c>
      <c r="B55" s="18" t="s">
        <v>2244</v>
      </c>
      <c r="C55" s="12">
        <v>0</v>
      </c>
    </row>
    <row r="56" spans="1:3">
      <c r="A56" s="10">
        <v>50</v>
      </c>
      <c r="B56" s="18" t="s">
        <v>2245</v>
      </c>
      <c r="C56" s="12">
        <v>0</v>
      </c>
    </row>
    <row r="57" spans="1:3">
      <c r="A57" s="10">
        <v>51</v>
      </c>
      <c r="B57" s="18" t="s">
        <v>2246</v>
      </c>
      <c r="C57" s="12">
        <f>[23]Sheet1!$Q$23</f>
        <v>182027</v>
      </c>
    </row>
    <row r="58" spans="1:3">
      <c r="A58" s="10">
        <v>52</v>
      </c>
      <c r="B58" s="18" t="s">
        <v>2247</v>
      </c>
      <c r="C58" s="12">
        <v>0</v>
      </c>
    </row>
    <row r="59" spans="1:3">
      <c r="A59" s="10">
        <v>53</v>
      </c>
      <c r="B59" s="18" t="s">
        <v>2248</v>
      </c>
      <c r="C59" s="12">
        <v>0</v>
      </c>
    </row>
    <row r="60" spans="1:3">
      <c r="A60" s="10">
        <v>54</v>
      </c>
      <c r="B60" s="18" t="s">
        <v>2249</v>
      </c>
      <c r="C60" s="12">
        <f>[24]Sheet1!$Q$23</f>
        <v>53772</v>
      </c>
    </row>
    <row r="61" spans="1:3">
      <c r="A61" s="10">
        <v>55</v>
      </c>
      <c r="B61" s="18" t="s">
        <v>2250</v>
      </c>
      <c r="C61" s="12">
        <v>0</v>
      </c>
    </row>
    <row r="62" spans="1:3">
      <c r="A62" s="10">
        <v>56</v>
      </c>
      <c r="B62" s="18" t="s">
        <v>2251</v>
      </c>
      <c r="C62" s="12">
        <v>0</v>
      </c>
    </row>
    <row r="63" spans="1:3">
      <c r="A63" s="10">
        <v>57</v>
      </c>
      <c r="B63" s="18" t="s">
        <v>2252</v>
      </c>
      <c r="C63" s="12">
        <v>0</v>
      </c>
    </row>
    <row r="64" spans="1:3">
      <c r="A64" s="10">
        <v>58</v>
      </c>
      <c r="B64" s="18" t="s">
        <v>2253</v>
      </c>
      <c r="C64" s="12">
        <v>0</v>
      </c>
    </row>
    <row r="65" spans="1:3">
      <c r="A65" s="10">
        <v>59</v>
      </c>
      <c r="B65" s="18" t="s">
        <v>2254</v>
      </c>
      <c r="C65" s="12">
        <v>0</v>
      </c>
    </row>
    <row r="66" spans="1:3">
      <c r="A66" s="10">
        <v>60</v>
      </c>
      <c r="B66" s="18" t="s">
        <v>2255</v>
      </c>
      <c r="C66" s="12">
        <v>0</v>
      </c>
    </row>
    <row r="67" spans="1:3">
      <c r="A67" s="10">
        <v>61</v>
      </c>
      <c r="B67" s="18" t="s">
        <v>2256</v>
      </c>
      <c r="C67" s="12">
        <v>0</v>
      </c>
    </row>
    <row r="68" spans="1:3">
      <c r="A68" s="10">
        <v>62</v>
      </c>
      <c r="B68" s="18" t="s">
        <v>2257</v>
      </c>
      <c r="C68" s="12">
        <f>[25]Sheet1!$Q$23</f>
        <v>74134</v>
      </c>
    </row>
    <row r="69" spans="1:3">
      <c r="A69" s="10">
        <v>63</v>
      </c>
      <c r="B69" s="18" t="s">
        <v>2258</v>
      </c>
      <c r="C69" s="12">
        <v>0</v>
      </c>
    </row>
    <row r="70" spans="1:3">
      <c r="A70" s="10">
        <v>64</v>
      </c>
      <c r="B70" s="18" t="s">
        <v>2259</v>
      </c>
      <c r="C70" s="12">
        <v>0</v>
      </c>
    </row>
    <row r="71" spans="1:3">
      <c r="A71" s="10">
        <v>65</v>
      </c>
      <c r="B71" s="18" t="s">
        <v>2260</v>
      </c>
      <c r="C71" s="12">
        <v>0</v>
      </c>
    </row>
    <row r="72" spans="1:3">
      <c r="A72" s="10">
        <v>66</v>
      </c>
      <c r="B72" s="18" t="s">
        <v>2261</v>
      </c>
      <c r="C72" s="12">
        <v>0</v>
      </c>
    </row>
    <row r="73" spans="1:3">
      <c r="A73" s="10">
        <v>67</v>
      </c>
      <c r="B73" s="18" t="s">
        <v>2262</v>
      </c>
      <c r="C73" s="12">
        <v>0</v>
      </c>
    </row>
    <row r="74" spans="1:3">
      <c r="A74" s="10">
        <v>68</v>
      </c>
      <c r="B74" s="18" t="s">
        <v>2263</v>
      </c>
      <c r="C74" s="12">
        <v>0</v>
      </c>
    </row>
    <row r="75" spans="1:3">
      <c r="A75" s="10">
        <v>69</v>
      </c>
      <c r="B75" s="18" t="s">
        <v>2264</v>
      </c>
      <c r="C75" s="12">
        <v>0</v>
      </c>
    </row>
    <row r="76" spans="1:3">
      <c r="A76" s="10">
        <v>70</v>
      </c>
      <c r="B76" s="18" t="s">
        <v>2265</v>
      </c>
      <c r="C76" s="12">
        <v>0</v>
      </c>
    </row>
    <row r="77" spans="1:3">
      <c r="A77" s="10">
        <v>71</v>
      </c>
      <c r="B77" s="18" t="s">
        <v>2266</v>
      </c>
      <c r="C77" s="12">
        <f>[26]Sheet1!$Q$23</f>
        <v>51170</v>
      </c>
    </row>
    <row r="78" spans="1:3">
      <c r="A78" s="10">
        <v>72</v>
      </c>
      <c r="B78" s="18" t="s">
        <v>2267</v>
      </c>
      <c r="C78" s="12">
        <f>[27]Sheet1!$Q$23</f>
        <v>38822</v>
      </c>
    </row>
    <row r="79" spans="1:3">
      <c r="A79" s="10">
        <v>73</v>
      </c>
      <c r="B79" s="18" t="s">
        <v>2268</v>
      </c>
      <c r="C79" s="12">
        <v>0</v>
      </c>
    </row>
    <row r="80" spans="1:3">
      <c r="A80" s="10">
        <v>74</v>
      </c>
      <c r="B80" s="18" t="s">
        <v>2269</v>
      </c>
      <c r="C80" s="12">
        <v>0</v>
      </c>
    </row>
    <row r="81" spans="1:3">
      <c r="A81" s="10">
        <v>75</v>
      </c>
      <c r="B81" s="18" t="s">
        <v>2270</v>
      </c>
      <c r="C81" s="12">
        <v>0</v>
      </c>
    </row>
    <row r="82" spans="1:3">
      <c r="A82" s="10">
        <v>76</v>
      </c>
      <c r="B82" s="18" t="s">
        <v>2271</v>
      </c>
      <c r="C82" s="12">
        <v>0</v>
      </c>
    </row>
    <row r="83" spans="1:3">
      <c r="A83" s="10">
        <v>77</v>
      </c>
      <c r="B83" s="18" t="s">
        <v>2272</v>
      </c>
      <c r="C83" s="12">
        <v>0</v>
      </c>
    </row>
    <row r="84" spans="1:3">
      <c r="A84" s="10">
        <v>78</v>
      </c>
      <c r="B84" s="18" t="s">
        <v>2273</v>
      </c>
      <c r="C84" s="12">
        <v>0</v>
      </c>
    </row>
    <row r="85" spans="1:3">
      <c r="A85" s="10">
        <v>79</v>
      </c>
      <c r="B85" s="18" t="s">
        <v>2274</v>
      </c>
      <c r="C85" s="12">
        <v>0</v>
      </c>
    </row>
    <row r="86" spans="1:3">
      <c r="A86" s="10">
        <v>80</v>
      </c>
      <c r="B86" s="18" t="s">
        <v>2275</v>
      </c>
      <c r="C86" s="12">
        <v>0</v>
      </c>
    </row>
    <row r="87" spans="1:3">
      <c r="A87" s="10">
        <v>81</v>
      </c>
      <c r="B87" s="18" t="s">
        <v>2276</v>
      </c>
      <c r="C87" s="12">
        <v>0</v>
      </c>
    </row>
    <row r="88" spans="1:3">
      <c r="A88" s="10">
        <v>82</v>
      </c>
      <c r="B88" s="18" t="s">
        <v>2277</v>
      </c>
      <c r="C88" s="12">
        <v>0</v>
      </c>
    </row>
    <row r="89" spans="1:3">
      <c r="A89" s="10">
        <v>83</v>
      </c>
      <c r="B89" s="18" t="s">
        <v>2278</v>
      </c>
      <c r="C89" s="12">
        <v>0</v>
      </c>
    </row>
    <row r="90" spans="1:3">
      <c r="A90" s="10">
        <v>84</v>
      </c>
      <c r="B90" s="18" t="s">
        <v>2279</v>
      </c>
      <c r="C90" s="12">
        <v>0</v>
      </c>
    </row>
    <row r="91" spans="1:3">
      <c r="A91" s="10">
        <v>85</v>
      </c>
      <c r="B91" s="18" t="s">
        <v>2280</v>
      </c>
      <c r="C91" s="12">
        <v>0</v>
      </c>
    </row>
    <row r="92" spans="1:3">
      <c r="A92" s="10">
        <v>86</v>
      </c>
      <c r="B92" s="18" t="s">
        <v>2281</v>
      </c>
      <c r="C92" s="12">
        <v>0</v>
      </c>
    </row>
    <row r="93" spans="1:3">
      <c r="A93" s="13">
        <v>87</v>
      </c>
      <c r="B93" s="15" t="s">
        <v>2282</v>
      </c>
      <c r="C93" s="12">
        <v>0</v>
      </c>
    </row>
    <row r="94" spans="1:3">
      <c r="A94" s="13"/>
      <c r="B94" s="15"/>
      <c r="C94" s="12"/>
    </row>
    <row r="95" spans="1:3">
      <c r="A95" s="2232" t="s">
        <v>9</v>
      </c>
      <c r="B95" s="2233"/>
      <c r="C95" s="16">
        <f>SUM(C7:C93)</f>
        <v>965145</v>
      </c>
    </row>
    <row r="97" spans="4:4">
      <c r="D97" s="17"/>
    </row>
    <row r="98" spans="4:4">
      <c r="D98" s="17"/>
    </row>
  </sheetData>
  <mergeCells count="4">
    <mergeCell ref="A1:C1"/>
    <mergeCell ref="A2:C2"/>
    <mergeCell ref="A3:C3"/>
    <mergeCell ref="A95:B95"/>
  </mergeCells>
  <pageMargins left="1.39" right="0.70866141732283472" top="0.74803149606299213" bottom="0.74803149606299213" header="0.31496062992125984" footer="0.31496062992125984"/>
  <pageSetup paperSize="9" scale="85" orientation="portrait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>
  <sheetPr>
    <tabColor rgb="FF00B0F0"/>
  </sheetPr>
  <dimension ref="A1:F98"/>
  <sheetViews>
    <sheetView workbookViewId="0">
      <pane ySplit="600" activePane="bottomLeft"/>
      <selection activeCell="M32" sqref="M32"/>
      <selection pane="bottomLeft" activeCell="A63" sqref="A63:D63"/>
    </sheetView>
  </sheetViews>
  <sheetFormatPr defaultColWidth="8.85546875" defaultRowHeight="12.75"/>
  <cols>
    <col min="1" max="1" width="28.140625" style="1863" bestFit="1" customWidth="1"/>
    <col min="2" max="2" width="15.140625" style="1863" bestFit="1" customWidth="1"/>
    <col min="3" max="3" width="22.140625" style="1873" bestFit="1" customWidth="1"/>
    <col min="4" max="4" width="18.7109375" style="1863" bestFit="1" customWidth="1"/>
    <col min="5" max="16384" width="8.85546875" style="1863"/>
  </cols>
  <sheetData>
    <row r="1" spans="1:6" s="1841" customFormat="1" ht="15">
      <c r="A1" s="2224" t="s">
        <v>0</v>
      </c>
      <c r="B1" s="2224"/>
      <c r="C1" s="2224"/>
      <c r="D1" s="2224"/>
    </row>
    <row r="2" spans="1:6" s="1841" customFormat="1" ht="15">
      <c r="A2" s="2224" t="s">
        <v>2385</v>
      </c>
      <c r="B2" s="2224"/>
      <c r="C2" s="2224"/>
      <c r="D2" s="2224"/>
    </row>
    <row r="3" spans="1:6" s="1841" customFormat="1" ht="15">
      <c r="A3" s="2224" t="s">
        <v>2</v>
      </c>
      <c r="B3" s="2224"/>
      <c r="C3" s="2224"/>
      <c r="D3" s="2224"/>
      <c r="F3" s="1875"/>
    </row>
    <row r="4" spans="1:6" s="1841" customFormat="1" ht="15">
      <c r="A4" s="1858"/>
      <c r="B4" s="1859"/>
      <c r="C4" s="1860"/>
      <c r="F4" s="1875"/>
    </row>
    <row r="5" spans="1:6" s="1841" customFormat="1" ht="15">
      <c r="A5" s="1858"/>
      <c r="C5" s="1861"/>
      <c r="D5" s="7" t="s">
        <v>2162</v>
      </c>
    </row>
    <row r="6" spans="1:6" s="1797" customFormat="1">
      <c r="A6" s="1862" t="s">
        <v>2734</v>
      </c>
      <c r="B6" s="1862" t="s">
        <v>2380</v>
      </c>
      <c r="C6" s="1862" t="s">
        <v>2379</v>
      </c>
      <c r="D6" s="1862" t="s">
        <v>1929</v>
      </c>
    </row>
    <row r="7" spans="1:6">
      <c r="B7" s="1864"/>
      <c r="C7" s="1865"/>
      <c r="D7" s="1864"/>
    </row>
    <row r="8" spans="1:6" ht="15">
      <c r="A8" s="1846" t="s">
        <v>2287</v>
      </c>
      <c r="B8" s="1866">
        <v>0</v>
      </c>
      <c r="C8" s="1866">
        <v>0</v>
      </c>
      <c r="D8" s="1867">
        <f>SUM(B8:C8)</f>
        <v>0</v>
      </c>
    </row>
    <row r="9" spans="1:6" ht="15">
      <c r="A9" s="1846" t="s">
        <v>2288</v>
      </c>
      <c r="B9" s="1866">
        <v>0</v>
      </c>
      <c r="C9" s="1866">
        <v>0</v>
      </c>
      <c r="D9" s="1867">
        <f t="shared" ref="D9:D72" si="0">SUM(B9:C9)</f>
        <v>0</v>
      </c>
    </row>
    <row r="10" spans="1:6" ht="15">
      <c r="A10" s="1846" t="s">
        <v>2289</v>
      </c>
      <c r="B10" s="1866">
        <v>0</v>
      </c>
      <c r="C10" s="1866">
        <v>0</v>
      </c>
      <c r="D10" s="1867">
        <f t="shared" si="0"/>
        <v>0</v>
      </c>
    </row>
    <row r="11" spans="1:6" ht="15">
      <c r="A11" s="1846" t="s">
        <v>2290</v>
      </c>
      <c r="B11" s="1866">
        <v>0</v>
      </c>
      <c r="C11" s="1866">
        <v>0</v>
      </c>
      <c r="D11" s="1867">
        <f t="shared" si="0"/>
        <v>0</v>
      </c>
    </row>
    <row r="12" spans="1:6" ht="15">
      <c r="A12" s="1846" t="s">
        <v>2291</v>
      </c>
      <c r="B12" s="1866">
        <v>0</v>
      </c>
      <c r="C12" s="1866">
        <v>52987019</v>
      </c>
      <c r="D12" s="1867">
        <f t="shared" si="0"/>
        <v>52987019</v>
      </c>
    </row>
    <row r="13" spans="1:6" ht="15">
      <c r="A13" s="1846" t="s">
        <v>2292</v>
      </c>
      <c r="B13" s="1866">
        <v>8516400</v>
      </c>
      <c r="C13" s="1866">
        <v>4167689</v>
      </c>
      <c r="D13" s="1867">
        <f t="shared" si="0"/>
        <v>12684089</v>
      </c>
    </row>
    <row r="14" spans="1:6" ht="15">
      <c r="A14" s="1846" t="s">
        <v>2293</v>
      </c>
      <c r="B14" s="1866">
        <v>0</v>
      </c>
      <c r="C14" s="1866">
        <v>19868153</v>
      </c>
      <c r="D14" s="1867">
        <f t="shared" si="0"/>
        <v>19868153</v>
      </c>
    </row>
    <row r="15" spans="1:6" ht="15">
      <c r="A15" s="1846" t="s">
        <v>2294</v>
      </c>
      <c r="B15" s="1866">
        <v>0</v>
      </c>
      <c r="C15" s="1866">
        <v>10603120</v>
      </c>
      <c r="D15" s="1867">
        <f t="shared" si="0"/>
        <v>10603120</v>
      </c>
    </row>
    <row r="16" spans="1:6" ht="15">
      <c r="A16" s="1846" t="s">
        <v>2273</v>
      </c>
      <c r="B16" s="1866">
        <v>0</v>
      </c>
      <c r="C16" s="1866">
        <v>0</v>
      </c>
      <c r="D16" s="1867">
        <f t="shared" si="0"/>
        <v>0</v>
      </c>
    </row>
    <row r="17" spans="1:4" ht="15">
      <c r="A17" s="1846" t="s">
        <v>2295</v>
      </c>
      <c r="B17" s="1866">
        <v>0</v>
      </c>
      <c r="C17" s="1866">
        <v>0</v>
      </c>
      <c r="D17" s="1867">
        <f t="shared" si="0"/>
        <v>0</v>
      </c>
    </row>
    <row r="18" spans="1:4" ht="15">
      <c r="A18" s="1846" t="s">
        <v>2296</v>
      </c>
      <c r="B18" s="1866">
        <v>0</v>
      </c>
      <c r="C18" s="1866">
        <v>0</v>
      </c>
      <c r="D18" s="1867">
        <f t="shared" si="0"/>
        <v>0</v>
      </c>
    </row>
    <row r="19" spans="1:4" ht="15">
      <c r="A19" s="1846" t="s">
        <v>2297</v>
      </c>
      <c r="B19" s="1866">
        <v>0</v>
      </c>
      <c r="C19" s="1866">
        <v>0</v>
      </c>
      <c r="D19" s="1867">
        <f t="shared" si="0"/>
        <v>0</v>
      </c>
    </row>
    <row r="20" spans="1:4" ht="15">
      <c r="A20" s="1846" t="s">
        <v>2298</v>
      </c>
      <c r="B20" s="1866">
        <v>0</v>
      </c>
      <c r="C20" s="1866">
        <v>0</v>
      </c>
      <c r="D20" s="1867">
        <f t="shared" si="0"/>
        <v>0</v>
      </c>
    </row>
    <row r="21" spans="1:4" ht="15">
      <c r="A21" s="1846" t="s">
        <v>2299</v>
      </c>
      <c r="B21" s="1866">
        <v>0</v>
      </c>
      <c r="C21" s="1866">
        <v>0</v>
      </c>
      <c r="D21" s="1867">
        <f t="shared" si="0"/>
        <v>0</v>
      </c>
    </row>
    <row r="22" spans="1:4" ht="15">
      <c r="A22" s="1846" t="s">
        <v>2300</v>
      </c>
      <c r="B22" s="1866">
        <v>0</v>
      </c>
      <c r="C22" s="1866">
        <v>0</v>
      </c>
      <c r="D22" s="1867">
        <f t="shared" si="0"/>
        <v>0</v>
      </c>
    </row>
    <row r="23" spans="1:4" ht="15">
      <c r="A23" s="1846" t="s">
        <v>2301</v>
      </c>
      <c r="B23" s="1866">
        <v>0</v>
      </c>
      <c r="C23" s="1866">
        <v>0</v>
      </c>
      <c r="D23" s="1867">
        <f t="shared" si="0"/>
        <v>0</v>
      </c>
    </row>
    <row r="24" spans="1:4" ht="15">
      <c r="A24" s="1846" t="s">
        <v>2302</v>
      </c>
      <c r="B24" s="1866">
        <v>0</v>
      </c>
      <c r="C24" s="1866">
        <v>0</v>
      </c>
      <c r="D24" s="1867">
        <f t="shared" si="0"/>
        <v>0</v>
      </c>
    </row>
    <row r="25" spans="1:4" ht="15">
      <c r="A25" s="1846" t="s">
        <v>2303</v>
      </c>
      <c r="B25" s="1866">
        <v>0</v>
      </c>
      <c r="C25" s="1866">
        <v>0</v>
      </c>
      <c r="D25" s="1867">
        <f t="shared" si="0"/>
        <v>0</v>
      </c>
    </row>
    <row r="26" spans="1:4" ht="15">
      <c r="A26" s="1846" t="s">
        <v>2304</v>
      </c>
      <c r="B26" s="1866">
        <v>0</v>
      </c>
      <c r="C26" s="1866">
        <v>123924</v>
      </c>
      <c r="D26" s="1867">
        <f t="shared" si="0"/>
        <v>123924</v>
      </c>
    </row>
    <row r="27" spans="1:4" ht="15">
      <c r="A27" s="1846" t="s">
        <v>2305</v>
      </c>
      <c r="B27" s="1866">
        <v>0</v>
      </c>
      <c r="C27" s="1866">
        <v>703267</v>
      </c>
      <c r="D27" s="1867">
        <f t="shared" si="0"/>
        <v>703267</v>
      </c>
    </row>
    <row r="28" spans="1:4" ht="15">
      <c r="A28" s="1846" t="s">
        <v>2306</v>
      </c>
      <c r="B28" s="1866">
        <v>0</v>
      </c>
      <c r="C28" s="1866">
        <v>319597</v>
      </c>
      <c r="D28" s="1867">
        <f t="shared" si="0"/>
        <v>319597</v>
      </c>
    </row>
    <row r="29" spans="1:4" ht="15">
      <c r="A29" s="1846" t="s">
        <v>2307</v>
      </c>
      <c r="B29" s="1866">
        <v>0</v>
      </c>
      <c r="C29" s="1866">
        <v>230676</v>
      </c>
      <c r="D29" s="1867">
        <f t="shared" si="0"/>
        <v>230676</v>
      </c>
    </row>
    <row r="30" spans="1:4" ht="15">
      <c r="A30" s="1846" t="s">
        <v>2308</v>
      </c>
      <c r="B30" s="1866">
        <v>0</v>
      </c>
      <c r="C30" s="1866">
        <v>10286194</v>
      </c>
      <c r="D30" s="1867">
        <f t="shared" si="0"/>
        <v>10286194</v>
      </c>
    </row>
    <row r="31" spans="1:4" ht="15">
      <c r="A31" s="1846" t="s">
        <v>2241</v>
      </c>
      <c r="B31" s="1866">
        <v>0</v>
      </c>
      <c r="C31" s="1866">
        <v>276165</v>
      </c>
      <c r="D31" s="1867">
        <f t="shared" si="0"/>
        <v>276165</v>
      </c>
    </row>
    <row r="32" spans="1:4" ht="15">
      <c r="A32" s="1846" t="s">
        <v>2309</v>
      </c>
      <c r="B32" s="1866">
        <v>0</v>
      </c>
      <c r="C32" s="1866">
        <v>425188</v>
      </c>
      <c r="D32" s="1867">
        <f t="shared" si="0"/>
        <v>425188</v>
      </c>
    </row>
    <row r="33" spans="1:4" ht="15">
      <c r="A33" s="1846" t="s">
        <v>2310</v>
      </c>
      <c r="B33" s="1866">
        <v>0</v>
      </c>
      <c r="C33" s="1866">
        <v>0</v>
      </c>
      <c r="D33" s="1867">
        <f t="shared" si="0"/>
        <v>0</v>
      </c>
    </row>
    <row r="34" spans="1:4" ht="15">
      <c r="A34" s="1846" t="s">
        <v>2311</v>
      </c>
      <c r="B34" s="1866">
        <v>0</v>
      </c>
      <c r="C34" s="1866">
        <v>3250615</v>
      </c>
      <c r="D34" s="1867">
        <f t="shared" si="0"/>
        <v>3250615</v>
      </c>
    </row>
    <row r="35" spans="1:4" ht="15">
      <c r="A35" s="1846" t="s">
        <v>2312</v>
      </c>
      <c r="B35" s="1866">
        <v>0</v>
      </c>
      <c r="C35" s="1866">
        <v>345000</v>
      </c>
      <c r="D35" s="1867">
        <f t="shared" si="0"/>
        <v>345000</v>
      </c>
    </row>
    <row r="36" spans="1:4" ht="15">
      <c r="A36" s="1846" t="s">
        <v>2313</v>
      </c>
      <c r="B36" s="1866">
        <v>0</v>
      </c>
      <c r="C36" s="1866">
        <v>0</v>
      </c>
      <c r="D36" s="1867">
        <f t="shared" si="0"/>
        <v>0</v>
      </c>
    </row>
    <row r="37" spans="1:4" ht="15">
      <c r="A37" s="1846" t="s">
        <v>2314</v>
      </c>
      <c r="B37" s="1866">
        <v>0</v>
      </c>
      <c r="C37" s="1866">
        <v>174985</v>
      </c>
      <c r="D37" s="1867">
        <f t="shared" si="0"/>
        <v>174985</v>
      </c>
    </row>
    <row r="38" spans="1:4" ht="15">
      <c r="A38" s="1846" t="s">
        <v>2315</v>
      </c>
      <c r="B38" s="1866">
        <v>0</v>
      </c>
      <c r="C38" s="1866">
        <v>0</v>
      </c>
      <c r="D38" s="1867">
        <f t="shared" si="0"/>
        <v>0</v>
      </c>
    </row>
    <row r="39" spans="1:4" ht="15">
      <c r="A39" s="1846" t="s">
        <v>2316</v>
      </c>
      <c r="B39" s="1866">
        <v>0</v>
      </c>
      <c r="C39" s="1866">
        <v>0</v>
      </c>
      <c r="D39" s="1867">
        <f t="shared" si="0"/>
        <v>0</v>
      </c>
    </row>
    <row r="40" spans="1:4" ht="15">
      <c r="A40" s="1846" t="s">
        <v>2317</v>
      </c>
      <c r="B40" s="1866">
        <v>0</v>
      </c>
      <c r="C40" s="1866">
        <v>4304132</v>
      </c>
      <c r="D40" s="1867">
        <f t="shared" si="0"/>
        <v>4304132</v>
      </c>
    </row>
    <row r="41" spans="1:4" ht="15">
      <c r="A41" s="1846" t="s">
        <v>2318</v>
      </c>
      <c r="B41" s="1866">
        <v>0</v>
      </c>
      <c r="C41" s="1866">
        <v>1908016</v>
      </c>
      <c r="D41" s="1867">
        <f t="shared" si="0"/>
        <v>1908016</v>
      </c>
    </row>
    <row r="42" spans="1:4" ht="15">
      <c r="A42" s="1846" t="s">
        <v>2319</v>
      </c>
      <c r="B42" s="1866">
        <v>0</v>
      </c>
      <c r="C42" s="1866">
        <v>825383</v>
      </c>
      <c r="D42" s="1867">
        <f t="shared" si="0"/>
        <v>825383</v>
      </c>
    </row>
    <row r="43" spans="1:4" ht="15">
      <c r="A43" s="1846" t="s">
        <v>2320</v>
      </c>
      <c r="B43" s="1866">
        <v>0</v>
      </c>
      <c r="C43" s="1866">
        <v>394428</v>
      </c>
      <c r="D43" s="1867">
        <f t="shared" si="0"/>
        <v>394428</v>
      </c>
    </row>
    <row r="44" spans="1:4" ht="15">
      <c r="A44" s="1846" t="s">
        <v>2321</v>
      </c>
      <c r="B44" s="1866">
        <v>0</v>
      </c>
      <c r="C44" s="1866">
        <v>0</v>
      </c>
      <c r="D44" s="1867">
        <f t="shared" si="0"/>
        <v>0</v>
      </c>
    </row>
    <row r="45" spans="1:4" ht="15">
      <c r="A45" s="1846" t="s">
        <v>2322</v>
      </c>
      <c r="B45" s="1866">
        <v>0</v>
      </c>
      <c r="C45" s="1866">
        <v>0</v>
      </c>
      <c r="D45" s="1867">
        <f t="shared" si="0"/>
        <v>0</v>
      </c>
    </row>
    <row r="46" spans="1:4" ht="15">
      <c r="A46" s="1846" t="s">
        <v>2323</v>
      </c>
      <c r="B46" s="1866">
        <v>0</v>
      </c>
      <c r="C46" s="1866">
        <v>0</v>
      </c>
      <c r="D46" s="1867">
        <f t="shared" si="0"/>
        <v>0</v>
      </c>
    </row>
    <row r="47" spans="1:4" ht="15">
      <c r="A47" s="1846" t="s">
        <v>2324</v>
      </c>
      <c r="B47" s="1866">
        <v>0</v>
      </c>
      <c r="C47" s="1866">
        <v>485173</v>
      </c>
      <c r="D47" s="1867">
        <f t="shared" si="0"/>
        <v>485173</v>
      </c>
    </row>
    <row r="48" spans="1:4" ht="15">
      <c r="A48" s="1846" t="s">
        <v>2325</v>
      </c>
      <c r="B48" s="1866">
        <v>0</v>
      </c>
      <c r="C48" s="1866">
        <v>2577567</v>
      </c>
      <c r="D48" s="1867">
        <f t="shared" si="0"/>
        <v>2577567</v>
      </c>
    </row>
    <row r="49" spans="1:4" ht="15">
      <c r="A49" s="1846" t="s">
        <v>2326</v>
      </c>
      <c r="B49" s="1866">
        <v>0</v>
      </c>
      <c r="C49" s="1866">
        <v>235952.2</v>
      </c>
      <c r="D49" s="1867">
        <f t="shared" si="0"/>
        <v>235952.2</v>
      </c>
    </row>
    <row r="50" spans="1:4" ht="15">
      <c r="A50" s="1846" t="s">
        <v>2327</v>
      </c>
      <c r="B50" s="1866">
        <v>0</v>
      </c>
      <c r="C50" s="1868">
        <v>492758</v>
      </c>
      <c r="D50" s="1867">
        <f t="shared" si="0"/>
        <v>492758</v>
      </c>
    </row>
    <row r="51" spans="1:4" ht="15">
      <c r="A51" s="1846" t="s">
        <v>2328</v>
      </c>
      <c r="B51" s="1866">
        <v>0</v>
      </c>
      <c r="C51" s="1866">
        <v>2062895</v>
      </c>
      <c r="D51" s="1867">
        <f t="shared" si="0"/>
        <v>2062895</v>
      </c>
    </row>
    <row r="52" spans="1:4" ht="15">
      <c r="A52" s="1846" t="s">
        <v>2329</v>
      </c>
      <c r="B52" s="1866">
        <v>0</v>
      </c>
      <c r="C52" s="1866">
        <v>214182096</v>
      </c>
      <c r="D52" s="1867">
        <f t="shared" si="0"/>
        <v>214182096</v>
      </c>
    </row>
    <row r="53" spans="1:4" ht="15">
      <c r="A53" s="1846" t="s">
        <v>2330</v>
      </c>
      <c r="B53" s="1866">
        <v>0</v>
      </c>
      <c r="C53" s="1866">
        <v>207173</v>
      </c>
      <c r="D53" s="1867">
        <f t="shared" si="0"/>
        <v>207173</v>
      </c>
    </row>
    <row r="54" spans="1:4" ht="15">
      <c r="A54" s="1846" t="s">
        <v>2331</v>
      </c>
      <c r="B54" s="1866">
        <v>0</v>
      </c>
      <c r="C54" s="1866">
        <v>290934</v>
      </c>
      <c r="D54" s="1867">
        <f t="shared" si="0"/>
        <v>290934</v>
      </c>
    </row>
    <row r="55" spans="1:4" ht="15">
      <c r="A55" s="1846" t="s">
        <v>2332</v>
      </c>
      <c r="B55" s="1866">
        <v>0</v>
      </c>
      <c r="C55" s="1866">
        <v>0</v>
      </c>
      <c r="D55" s="1867">
        <f t="shared" si="0"/>
        <v>0</v>
      </c>
    </row>
    <row r="56" spans="1:4" ht="15">
      <c r="A56" s="1846" t="s">
        <v>2333</v>
      </c>
      <c r="B56" s="1866">
        <v>0</v>
      </c>
      <c r="C56" s="1866">
        <v>0</v>
      </c>
      <c r="D56" s="1867">
        <f t="shared" si="0"/>
        <v>0</v>
      </c>
    </row>
    <row r="57" spans="1:4" ht="15">
      <c r="A57" s="1846" t="s">
        <v>2334</v>
      </c>
      <c r="B57" s="1866">
        <v>0</v>
      </c>
      <c r="C57" s="1866">
        <v>120804</v>
      </c>
      <c r="D57" s="1867">
        <f t="shared" si="0"/>
        <v>120804</v>
      </c>
    </row>
    <row r="58" spans="1:4" ht="15">
      <c r="A58" s="1846" t="s">
        <v>2335</v>
      </c>
      <c r="B58" s="1866">
        <v>2850000</v>
      </c>
      <c r="C58" s="1866">
        <v>748000</v>
      </c>
      <c r="D58" s="1867">
        <f t="shared" si="0"/>
        <v>3598000</v>
      </c>
    </row>
    <row r="59" spans="1:4" ht="15">
      <c r="A59" s="1846" t="s">
        <v>2336</v>
      </c>
      <c r="B59" s="1866">
        <v>0</v>
      </c>
      <c r="C59" s="1866">
        <v>0</v>
      </c>
      <c r="D59" s="1867">
        <f t="shared" si="0"/>
        <v>0</v>
      </c>
    </row>
    <row r="60" spans="1:4" ht="15">
      <c r="A60" s="1846" t="s">
        <v>2337</v>
      </c>
      <c r="B60" s="1866">
        <v>0</v>
      </c>
      <c r="C60" s="1866">
        <v>243479016</v>
      </c>
      <c r="D60" s="1867">
        <f t="shared" si="0"/>
        <v>243479016</v>
      </c>
    </row>
    <row r="61" spans="1:4" ht="15">
      <c r="A61" s="1846" t="s">
        <v>2338</v>
      </c>
      <c r="B61" s="1866">
        <v>0</v>
      </c>
      <c r="C61" s="1866">
        <v>0</v>
      </c>
      <c r="D61" s="1867">
        <f t="shared" si="0"/>
        <v>0</v>
      </c>
    </row>
    <row r="62" spans="1:4" ht="15">
      <c r="A62" s="1846" t="s">
        <v>2339</v>
      </c>
      <c r="B62" s="1866">
        <v>0</v>
      </c>
      <c r="C62" s="1866">
        <v>516184</v>
      </c>
      <c r="D62" s="1867">
        <f t="shared" si="0"/>
        <v>516184</v>
      </c>
    </row>
    <row r="63" spans="1:4" ht="15.75" thickBot="1">
      <c r="A63" s="1911" t="s">
        <v>2340</v>
      </c>
      <c r="B63" s="1912">
        <v>0</v>
      </c>
      <c r="C63" s="1912">
        <v>2001848</v>
      </c>
      <c r="D63" s="1913">
        <f t="shared" si="0"/>
        <v>2001848</v>
      </c>
    </row>
    <row r="64" spans="1:4" ht="15">
      <c r="A64" s="1908" t="s">
        <v>2341</v>
      </c>
      <c r="B64" s="1909">
        <v>0</v>
      </c>
      <c r="C64" s="1909">
        <v>0</v>
      </c>
      <c r="D64" s="1910">
        <f t="shared" si="0"/>
        <v>0</v>
      </c>
    </row>
    <row r="65" spans="1:4" ht="15">
      <c r="A65" s="1846" t="s">
        <v>2342</v>
      </c>
      <c r="B65" s="1866">
        <v>0</v>
      </c>
      <c r="C65" s="1866">
        <v>5644466</v>
      </c>
      <c r="D65" s="1867">
        <f t="shared" si="0"/>
        <v>5644466</v>
      </c>
    </row>
    <row r="66" spans="1:4" ht="15">
      <c r="A66" s="1846" t="s">
        <v>2343</v>
      </c>
      <c r="B66" s="1866">
        <v>0</v>
      </c>
      <c r="C66" s="1868">
        <v>149500</v>
      </c>
      <c r="D66" s="1867">
        <f t="shared" si="0"/>
        <v>149500</v>
      </c>
    </row>
    <row r="67" spans="1:4" ht="15">
      <c r="A67" s="1846" t="s">
        <v>2344</v>
      </c>
      <c r="B67" s="1866">
        <v>0</v>
      </c>
      <c r="C67" s="1868">
        <v>218916</v>
      </c>
      <c r="D67" s="1867">
        <f t="shared" si="0"/>
        <v>218916</v>
      </c>
    </row>
    <row r="68" spans="1:4" ht="15">
      <c r="A68" s="1846" t="s">
        <v>2345</v>
      </c>
      <c r="B68" s="1866">
        <v>0</v>
      </c>
      <c r="C68" s="1866">
        <v>0</v>
      </c>
      <c r="D68" s="1867">
        <f t="shared" si="0"/>
        <v>0</v>
      </c>
    </row>
    <row r="69" spans="1:4" ht="15">
      <c r="A69" s="1846" t="s">
        <v>2346</v>
      </c>
      <c r="B69" s="1866">
        <v>0</v>
      </c>
      <c r="C69" s="1866">
        <v>694257</v>
      </c>
      <c r="D69" s="1867">
        <f t="shared" si="0"/>
        <v>694257</v>
      </c>
    </row>
    <row r="70" spans="1:4" ht="15">
      <c r="A70" s="1846" t="s">
        <v>2347</v>
      </c>
      <c r="B70" s="1866">
        <v>0</v>
      </c>
      <c r="C70" s="1866">
        <v>2768185</v>
      </c>
      <c r="D70" s="1867">
        <f t="shared" si="0"/>
        <v>2768185</v>
      </c>
    </row>
    <row r="71" spans="1:4" ht="15">
      <c r="A71" s="1846" t="s">
        <v>2348</v>
      </c>
      <c r="B71" s="1866">
        <v>0</v>
      </c>
      <c r="C71" s="1866">
        <v>0</v>
      </c>
      <c r="D71" s="1867">
        <f t="shared" si="0"/>
        <v>0</v>
      </c>
    </row>
    <row r="72" spans="1:4" ht="15">
      <c r="A72" s="1846" t="s">
        <v>2248</v>
      </c>
      <c r="B72" s="1866">
        <v>0</v>
      </c>
      <c r="C72" s="1866">
        <v>320062</v>
      </c>
      <c r="D72" s="1867">
        <f t="shared" si="0"/>
        <v>320062</v>
      </c>
    </row>
    <row r="73" spans="1:4" ht="15">
      <c r="A73" s="1846" t="s">
        <v>2349</v>
      </c>
      <c r="B73" s="1866">
        <v>0</v>
      </c>
      <c r="C73" s="1868">
        <v>78974145</v>
      </c>
      <c r="D73" s="1867">
        <f t="shared" ref="D73:D94" si="1">SUM(B73:C73)</f>
        <v>78974145</v>
      </c>
    </row>
    <row r="74" spans="1:4" ht="15">
      <c r="A74" s="1846" t="s">
        <v>2350</v>
      </c>
      <c r="B74" s="1866">
        <v>0</v>
      </c>
      <c r="C74" s="1866">
        <v>8916516</v>
      </c>
      <c r="D74" s="1867">
        <f t="shared" si="1"/>
        <v>8916516</v>
      </c>
    </row>
    <row r="75" spans="1:4" ht="15">
      <c r="A75" s="1846" t="s">
        <v>2351</v>
      </c>
      <c r="B75" s="1866">
        <v>0</v>
      </c>
      <c r="C75" s="1866">
        <v>2578461</v>
      </c>
      <c r="D75" s="1867">
        <f t="shared" si="1"/>
        <v>2578461</v>
      </c>
    </row>
    <row r="76" spans="1:4" ht="15">
      <c r="A76" s="1846" t="s">
        <v>2247</v>
      </c>
      <c r="B76" s="1866">
        <v>0</v>
      </c>
      <c r="C76" s="1866">
        <v>168728233</v>
      </c>
      <c r="D76" s="1867">
        <f t="shared" si="1"/>
        <v>168728233</v>
      </c>
    </row>
    <row r="77" spans="1:4" ht="15">
      <c r="A77" s="1846" t="s">
        <v>2234</v>
      </c>
      <c r="B77" s="1866">
        <v>0</v>
      </c>
      <c r="C77" s="1866">
        <v>0</v>
      </c>
      <c r="D77" s="1867">
        <f t="shared" si="1"/>
        <v>0</v>
      </c>
    </row>
    <row r="78" spans="1:4" ht="15">
      <c r="A78" s="1846" t="s">
        <v>2352</v>
      </c>
      <c r="B78" s="1866">
        <v>0</v>
      </c>
      <c r="C78" s="1866">
        <v>8099100</v>
      </c>
      <c r="D78" s="1867">
        <f t="shared" si="1"/>
        <v>8099100</v>
      </c>
    </row>
    <row r="79" spans="1:4" ht="15">
      <c r="A79" s="1846" t="s">
        <v>2353</v>
      </c>
      <c r="B79" s="1866">
        <v>0</v>
      </c>
      <c r="C79" s="1866">
        <v>0</v>
      </c>
      <c r="D79" s="1867">
        <f t="shared" si="1"/>
        <v>0</v>
      </c>
    </row>
    <row r="80" spans="1:4" ht="15">
      <c r="A80" s="1846" t="s">
        <v>2354</v>
      </c>
      <c r="B80" s="1866">
        <v>0</v>
      </c>
      <c r="C80" s="1866">
        <v>153394</v>
      </c>
      <c r="D80" s="1867">
        <f t="shared" si="1"/>
        <v>153394</v>
      </c>
    </row>
    <row r="81" spans="1:4" ht="15">
      <c r="A81" s="1846" t="s">
        <v>2355</v>
      </c>
      <c r="B81" s="1866">
        <v>0</v>
      </c>
      <c r="C81" s="1866">
        <v>0</v>
      </c>
      <c r="D81" s="1867">
        <f t="shared" si="1"/>
        <v>0</v>
      </c>
    </row>
    <row r="82" spans="1:4" ht="15">
      <c r="A82" s="1846" t="s">
        <v>2356</v>
      </c>
      <c r="B82" s="1866">
        <v>0</v>
      </c>
      <c r="C82" s="1866">
        <v>300164496</v>
      </c>
      <c r="D82" s="1867">
        <f t="shared" si="1"/>
        <v>300164496</v>
      </c>
    </row>
    <row r="83" spans="1:4" ht="15">
      <c r="A83" s="1846" t="s">
        <v>2267</v>
      </c>
      <c r="B83" s="1866">
        <v>0</v>
      </c>
      <c r="C83" s="1866">
        <v>156055</v>
      </c>
      <c r="D83" s="1867">
        <f t="shared" si="1"/>
        <v>156055</v>
      </c>
    </row>
    <row r="84" spans="1:4" ht="15">
      <c r="A84" s="1846" t="s">
        <v>2357</v>
      </c>
      <c r="B84" s="1866">
        <v>0</v>
      </c>
      <c r="C84" s="1866">
        <v>3165721</v>
      </c>
      <c r="D84" s="1867">
        <f t="shared" si="1"/>
        <v>3165721</v>
      </c>
    </row>
    <row r="85" spans="1:4" ht="15">
      <c r="A85" s="1846" t="s">
        <v>2358</v>
      </c>
      <c r="B85" s="1866">
        <v>0</v>
      </c>
      <c r="C85" s="1866">
        <v>0</v>
      </c>
      <c r="D85" s="1867">
        <f t="shared" si="1"/>
        <v>0</v>
      </c>
    </row>
    <row r="86" spans="1:4" ht="15">
      <c r="A86" s="1846" t="s">
        <v>2359</v>
      </c>
      <c r="B86" s="1866">
        <v>0</v>
      </c>
      <c r="C86" s="1866">
        <v>0</v>
      </c>
      <c r="D86" s="1867">
        <f t="shared" si="1"/>
        <v>0</v>
      </c>
    </row>
    <row r="87" spans="1:4" ht="15">
      <c r="A87" s="1846" t="s">
        <v>2360</v>
      </c>
      <c r="B87" s="1866">
        <v>0</v>
      </c>
      <c r="C87" s="1866">
        <v>404599</v>
      </c>
      <c r="D87" s="1867">
        <f t="shared" si="1"/>
        <v>404599</v>
      </c>
    </row>
    <row r="88" spans="1:4" ht="15">
      <c r="A88" s="1846" t="s">
        <v>2361</v>
      </c>
      <c r="B88" s="1866">
        <v>0</v>
      </c>
      <c r="C88" s="1866">
        <v>0</v>
      </c>
      <c r="D88" s="1867">
        <f t="shared" si="1"/>
        <v>0</v>
      </c>
    </row>
    <row r="89" spans="1:4" ht="15">
      <c r="A89" s="1846" t="s">
        <v>2362</v>
      </c>
      <c r="B89" s="1866">
        <v>0</v>
      </c>
      <c r="C89" s="1866">
        <v>676252</v>
      </c>
      <c r="D89" s="1867">
        <f t="shared" si="1"/>
        <v>676252</v>
      </c>
    </row>
    <row r="90" spans="1:4" ht="15">
      <c r="A90" s="1846" t="s">
        <v>2363</v>
      </c>
      <c r="B90" s="1866">
        <v>0</v>
      </c>
      <c r="C90" s="1866">
        <v>0</v>
      </c>
      <c r="D90" s="1867">
        <f t="shared" si="1"/>
        <v>0</v>
      </c>
    </row>
    <row r="91" spans="1:4" ht="15">
      <c r="A91" s="1846" t="s">
        <v>2364</v>
      </c>
      <c r="B91" s="1866">
        <v>0</v>
      </c>
      <c r="C91" s="1866">
        <v>0</v>
      </c>
      <c r="D91" s="1867">
        <f t="shared" si="1"/>
        <v>0</v>
      </c>
    </row>
    <row r="92" spans="1:4" ht="15">
      <c r="A92" s="1846" t="s">
        <v>2365</v>
      </c>
      <c r="B92" s="1866">
        <v>0</v>
      </c>
      <c r="C92" s="1866">
        <v>410834</v>
      </c>
      <c r="D92" s="1867">
        <f t="shared" si="1"/>
        <v>410834</v>
      </c>
    </row>
    <row r="93" spans="1:4" ht="15">
      <c r="A93" s="1846" t="s">
        <v>2366</v>
      </c>
      <c r="B93" s="1866">
        <v>0</v>
      </c>
      <c r="C93" s="1866">
        <v>533295</v>
      </c>
      <c r="D93" s="1867">
        <f t="shared" si="1"/>
        <v>533295</v>
      </c>
    </row>
    <row r="94" spans="1:4" ht="15">
      <c r="A94" s="1849" t="s">
        <v>2282</v>
      </c>
      <c r="B94" s="1866">
        <v>0</v>
      </c>
      <c r="C94" s="1868">
        <v>0</v>
      </c>
      <c r="D94" s="1867">
        <f t="shared" si="1"/>
        <v>0</v>
      </c>
    </row>
    <row r="95" spans="1:4">
      <c r="A95" s="1869"/>
      <c r="B95" s="1869"/>
      <c r="C95" s="1870"/>
      <c r="D95" s="1869"/>
    </row>
    <row r="96" spans="1:4">
      <c r="A96" s="1871" t="s">
        <v>9</v>
      </c>
      <c r="B96" s="1867">
        <f>SUM(B8:B95)</f>
        <v>11366400</v>
      </c>
      <c r="C96" s="1867">
        <f t="shared" ref="C96:D96" si="2">SUM(C8:C95)</f>
        <v>1161350438.2</v>
      </c>
      <c r="D96" s="1867">
        <f t="shared" si="2"/>
        <v>1172716838.2</v>
      </c>
    </row>
    <row r="98" spans="2:4">
      <c r="B98" s="1872"/>
      <c r="D98" s="1874"/>
    </row>
  </sheetData>
  <mergeCells count="3">
    <mergeCell ref="A1:D1"/>
    <mergeCell ref="A2:D2"/>
    <mergeCell ref="A3:D3"/>
  </mergeCells>
  <pageMargins left="1.84" right="0.53" top="0.51181102362204722" bottom="2.57" header="0.31496062992125984" footer="0.31496062992125984"/>
  <pageSetup paperSize="5" scale="85" orientation="portrait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>
  <sheetPr>
    <tabColor rgb="FF00B0F0"/>
  </sheetPr>
  <dimension ref="A1:D98"/>
  <sheetViews>
    <sheetView workbookViewId="0">
      <selection activeCell="A52" sqref="A52:C52"/>
    </sheetView>
  </sheetViews>
  <sheetFormatPr defaultColWidth="8.85546875" defaultRowHeight="15"/>
  <cols>
    <col min="1" max="1" width="7.7109375" style="1" customWidth="1"/>
    <col min="2" max="2" width="67.7109375" style="2" customWidth="1"/>
    <col min="3" max="3" width="22.42578125" style="3" customWidth="1"/>
    <col min="4" max="16384" width="8.85546875" style="2"/>
  </cols>
  <sheetData>
    <row r="1" spans="1:3">
      <c r="A1" s="1954" t="s">
        <v>0</v>
      </c>
      <c r="B1" s="1954"/>
      <c r="C1" s="1954"/>
    </row>
    <row r="2" spans="1:3">
      <c r="A2" s="1954" t="s">
        <v>2386</v>
      </c>
      <c r="B2" s="1954"/>
      <c r="C2" s="1954"/>
    </row>
    <row r="3" spans="1:3">
      <c r="A3" s="1954" t="s">
        <v>2</v>
      </c>
      <c r="B3" s="1954"/>
      <c r="C3" s="1954"/>
    </row>
    <row r="4" spans="1:3">
      <c r="A4" s="4"/>
      <c r="B4" s="5"/>
      <c r="C4" s="6"/>
    </row>
    <row r="5" spans="1:3">
      <c r="C5" s="7" t="s">
        <v>2377</v>
      </c>
    </row>
    <row r="6" spans="1:3" ht="45">
      <c r="A6" s="8" t="s">
        <v>1546</v>
      </c>
      <c r="B6" s="8" t="s">
        <v>2193</v>
      </c>
      <c r="C6" s="9" t="s">
        <v>2387</v>
      </c>
    </row>
    <row r="7" spans="1:3">
      <c r="A7" s="10">
        <v>1</v>
      </c>
      <c r="B7" s="11" t="s">
        <v>2287</v>
      </c>
      <c r="C7" s="12">
        <v>61888546</v>
      </c>
    </row>
    <row r="8" spans="1:3">
      <c r="A8" s="10">
        <v>2</v>
      </c>
      <c r="B8" s="11" t="s">
        <v>2288</v>
      </c>
      <c r="C8" s="12">
        <v>271850</v>
      </c>
    </row>
    <row r="9" spans="1:3">
      <c r="A9" s="10">
        <v>3</v>
      </c>
      <c r="B9" s="11" t="s">
        <v>2289</v>
      </c>
      <c r="C9" s="12">
        <v>0</v>
      </c>
    </row>
    <row r="10" spans="1:3">
      <c r="A10" s="10">
        <v>4</v>
      </c>
      <c r="B10" s="11" t="s">
        <v>2290</v>
      </c>
      <c r="C10" s="12">
        <v>5802400</v>
      </c>
    </row>
    <row r="11" spans="1:3">
      <c r="A11" s="10">
        <v>5</v>
      </c>
      <c r="B11" s="11" t="s">
        <v>2291</v>
      </c>
      <c r="C11" s="12">
        <v>26005000</v>
      </c>
    </row>
    <row r="12" spans="1:3">
      <c r="A12" s="10">
        <v>6</v>
      </c>
      <c r="B12" s="11" t="s">
        <v>2292</v>
      </c>
      <c r="C12" s="12">
        <v>0</v>
      </c>
    </row>
    <row r="13" spans="1:3">
      <c r="A13" s="10">
        <v>7</v>
      </c>
      <c r="B13" s="11" t="s">
        <v>2293</v>
      </c>
      <c r="C13" s="12">
        <v>16726000</v>
      </c>
    </row>
    <row r="14" spans="1:3">
      <c r="A14" s="10">
        <v>8</v>
      </c>
      <c r="B14" s="11" t="s">
        <v>2294</v>
      </c>
      <c r="C14" s="12">
        <v>0</v>
      </c>
    </row>
    <row r="15" spans="1:3">
      <c r="A15" s="10">
        <v>9</v>
      </c>
      <c r="B15" s="11" t="s">
        <v>2273</v>
      </c>
      <c r="C15" s="12">
        <v>2983000</v>
      </c>
    </row>
    <row r="16" spans="1:3">
      <c r="A16" s="10">
        <v>10</v>
      </c>
      <c r="B16" s="11" t="s">
        <v>2295</v>
      </c>
      <c r="C16" s="12">
        <v>0</v>
      </c>
    </row>
    <row r="17" spans="1:3">
      <c r="A17" s="10">
        <v>11</v>
      </c>
      <c r="B17" s="11" t="s">
        <v>2296</v>
      </c>
      <c r="C17" s="12">
        <v>0</v>
      </c>
    </row>
    <row r="18" spans="1:3">
      <c r="A18" s="10">
        <v>12</v>
      </c>
      <c r="B18" s="11" t="s">
        <v>2297</v>
      </c>
      <c r="C18" s="12">
        <v>0</v>
      </c>
    </row>
    <row r="19" spans="1:3">
      <c r="A19" s="10">
        <v>13</v>
      </c>
      <c r="B19" s="11" t="s">
        <v>2298</v>
      </c>
      <c r="C19" s="12">
        <v>1035150</v>
      </c>
    </row>
    <row r="20" spans="1:3">
      <c r="A20" s="10">
        <v>14</v>
      </c>
      <c r="B20" s="11" t="s">
        <v>2299</v>
      </c>
      <c r="C20" s="12">
        <v>0</v>
      </c>
    </row>
    <row r="21" spans="1:3">
      <c r="A21" s="10">
        <v>15</v>
      </c>
      <c r="B21" s="11" t="s">
        <v>2300</v>
      </c>
      <c r="C21" s="12">
        <v>49891050</v>
      </c>
    </row>
    <row r="22" spans="1:3">
      <c r="A22" s="10">
        <v>16</v>
      </c>
      <c r="B22" s="11" t="s">
        <v>2301</v>
      </c>
      <c r="C22" s="12">
        <v>21228000</v>
      </c>
    </row>
    <row r="23" spans="1:3">
      <c r="A23" s="10">
        <v>17</v>
      </c>
      <c r="B23" s="11" t="s">
        <v>2302</v>
      </c>
      <c r="C23" s="12">
        <v>5928700</v>
      </c>
    </row>
    <row r="24" spans="1:3">
      <c r="A24" s="10">
        <v>18</v>
      </c>
      <c r="B24" s="11" t="s">
        <v>2303</v>
      </c>
      <c r="C24" s="12">
        <v>27910000</v>
      </c>
    </row>
    <row r="25" spans="1:3">
      <c r="A25" s="10">
        <v>19</v>
      </c>
      <c r="B25" s="11" t="s">
        <v>2304</v>
      </c>
      <c r="C25" s="12">
        <v>100081000</v>
      </c>
    </row>
    <row r="26" spans="1:3">
      <c r="A26" s="10">
        <v>20</v>
      </c>
      <c r="B26" s="11" t="s">
        <v>2305</v>
      </c>
      <c r="C26" s="12">
        <v>0</v>
      </c>
    </row>
    <row r="27" spans="1:3">
      <c r="A27" s="10">
        <v>21</v>
      </c>
      <c r="B27" s="11" t="s">
        <v>2306</v>
      </c>
      <c r="C27" s="12">
        <v>2645000</v>
      </c>
    </row>
    <row r="28" spans="1:3">
      <c r="A28" s="10">
        <v>22</v>
      </c>
      <c r="B28" s="11" t="s">
        <v>2307</v>
      </c>
      <c r="C28" s="12">
        <v>0</v>
      </c>
    </row>
    <row r="29" spans="1:3">
      <c r="A29" s="10">
        <v>23</v>
      </c>
      <c r="B29" s="11" t="s">
        <v>2308</v>
      </c>
      <c r="C29" s="12">
        <v>10636000</v>
      </c>
    </row>
    <row r="30" spans="1:3">
      <c r="A30" s="10">
        <v>24</v>
      </c>
      <c r="B30" s="11" t="s">
        <v>2241</v>
      </c>
      <c r="C30" s="12">
        <v>27840000</v>
      </c>
    </row>
    <row r="31" spans="1:3">
      <c r="A31" s="10">
        <v>25</v>
      </c>
      <c r="B31" s="11" t="s">
        <v>2309</v>
      </c>
      <c r="C31" s="12">
        <v>0</v>
      </c>
    </row>
    <row r="32" spans="1:3">
      <c r="A32" s="10">
        <v>26</v>
      </c>
      <c r="B32" s="11" t="s">
        <v>2310</v>
      </c>
      <c r="C32" s="12">
        <v>0</v>
      </c>
    </row>
    <row r="33" spans="1:3">
      <c r="A33" s="10">
        <v>27</v>
      </c>
      <c r="B33" s="11" t="s">
        <v>2311</v>
      </c>
      <c r="C33" s="12">
        <v>52291896</v>
      </c>
    </row>
    <row r="34" spans="1:3">
      <c r="A34" s="10">
        <v>28</v>
      </c>
      <c r="B34" s="11" t="s">
        <v>2312</v>
      </c>
      <c r="C34" s="12">
        <v>12360350</v>
      </c>
    </row>
    <row r="35" spans="1:3">
      <c r="A35" s="10">
        <v>29</v>
      </c>
      <c r="B35" s="11" t="s">
        <v>2313</v>
      </c>
      <c r="C35" s="12">
        <v>35121500</v>
      </c>
    </row>
    <row r="36" spans="1:3">
      <c r="A36" s="10">
        <v>30</v>
      </c>
      <c r="B36" s="11" t="s">
        <v>2314</v>
      </c>
      <c r="C36" s="12">
        <v>24200</v>
      </c>
    </row>
    <row r="37" spans="1:3">
      <c r="A37" s="10">
        <v>31</v>
      </c>
      <c r="B37" s="11" t="s">
        <v>2315</v>
      </c>
      <c r="C37" s="12">
        <v>0</v>
      </c>
    </row>
    <row r="38" spans="1:3">
      <c r="A38" s="10">
        <v>32</v>
      </c>
      <c r="B38" s="11" t="s">
        <v>2316</v>
      </c>
      <c r="C38" s="12">
        <v>0</v>
      </c>
    </row>
    <row r="39" spans="1:3">
      <c r="A39" s="10">
        <v>33</v>
      </c>
      <c r="B39" s="11" t="s">
        <v>2317</v>
      </c>
      <c r="C39" s="12">
        <v>32084804</v>
      </c>
    </row>
    <row r="40" spans="1:3">
      <c r="A40" s="10">
        <v>34</v>
      </c>
      <c r="B40" s="11" t="s">
        <v>2318</v>
      </c>
      <c r="C40" s="12">
        <v>59800</v>
      </c>
    </row>
    <row r="41" spans="1:3">
      <c r="A41" s="10">
        <v>35</v>
      </c>
      <c r="B41" s="11" t="s">
        <v>2319</v>
      </c>
      <c r="C41" s="12">
        <v>9460000</v>
      </c>
    </row>
    <row r="42" spans="1:3">
      <c r="A42" s="10">
        <v>36</v>
      </c>
      <c r="B42" s="11" t="s">
        <v>2320</v>
      </c>
      <c r="C42" s="12">
        <v>7545000</v>
      </c>
    </row>
    <row r="43" spans="1:3">
      <c r="A43" s="10">
        <v>37</v>
      </c>
      <c r="B43" s="11" t="s">
        <v>2321</v>
      </c>
      <c r="C43" s="12">
        <v>1240000</v>
      </c>
    </row>
    <row r="44" spans="1:3">
      <c r="A44" s="10">
        <v>38</v>
      </c>
      <c r="B44" s="11" t="s">
        <v>2322</v>
      </c>
      <c r="C44" s="12">
        <v>0</v>
      </c>
    </row>
    <row r="45" spans="1:3">
      <c r="A45" s="10">
        <v>39</v>
      </c>
      <c r="B45" s="11" t="s">
        <v>2323</v>
      </c>
      <c r="C45" s="12">
        <v>7192800</v>
      </c>
    </row>
    <row r="46" spans="1:3">
      <c r="A46" s="10">
        <v>40</v>
      </c>
      <c r="B46" s="11" t="s">
        <v>2324</v>
      </c>
      <c r="C46" s="12">
        <v>8858000</v>
      </c>
    </row>
    <row r="47" spans="1:3">
      <c r="A47" s="10">
        <v>41</v>
      </c>
      <c r="B47" s="11" t="s">
        <v>2325</v>
      </c>
      <c r="C47" s="12">
        <v>0</v>
      </c>
    </row>
    <row r="48" spans="1:3">
      <c r="A48" s="10">
        <v>42</v>
      </c>
      <c r="B48" s="11" t="s">
        <v>2326</v>
      </c>
      <c r="C48" s="12">
        <v>5729000</v>
      </c>
    </row>
    <row r="49" spans="1:3">
      <c r="A49" s="10">
        <v>43</v>
      </c>
      <c r="B49" s="11" t="s">
        <v>2327</v>
      </c>
      <c r="C49" s="12">
        <v>1324000</v>
      </c>
    </row>
    <row r="50" spans="1:3">
      <c r="A50" s="10">
        <v>44</v>
      </c>
      <c r="B50" s="11" t="s">
        <v>2328</v>
      </c>
      <c r="C50" s="12">
        <v>53442500</v>
      </c>
    </row>
    <row r="51" spans="1:3">
      <c r="A51" s="10">
        <v>45</v>
      </c>
      <c r="B51" s="11" t="s">
        <v>2329</v>
      </c>
      <c r="C51" s="12">
        <v>134565000</v>
      </c>
    </row>
    <row r="52" spans="1:3" ht="15.75" thickBot="1">
      <c r="A52" s="1906">
        <v>46</v>
      </c>
      <c r="B52" s="1902" t="s">
        <v>2330</v>
      </c>
      <c r="C52" s="1907">
        <v>5000</v>
      </c>
    </row>
    <row r="53" spans="1:3">
      <c r="A53" s="1904">
        <v>47</v>
      </c>
      <c r="B53" s="1899" t="s">
        <v>2331</v>
      </c>
      <c r="C53" s="1905">
        <v>10025050</v>
      </c>
    </row>
    <row r="54" spans="1:3">
      <c r="A54" s="10">
        <v>48</v>
      </c>
      <c r="B54" s="11" t="s">
        <v>2332</v>
      </c>
      <c r="C54" s="12">
        <v>0</v>
      </c>
    </row>
    <row r="55" spans="1:3">
      <c r="A55" s="10">
        <v>49</v>
      </c>
      <c r="B55" s="11" t="s">
        <v>2333</v>
      </c>
      <c r="C55" s="12">
        <v>0</v>
      </c>
    </row>
    <row r="56" spans="1:3">
      <c r="A56" s="10">
        <v>50</v>
      </c>
      <c r="B56" s="11" t="s">
        <v>2334</v>
      </c>
      <c r="C56" s="12">
        <v>28733000</v>
      </c>
    </row>
    <row r="57" spans="1:3">
      <c r="A57" s="10">
        <v>51</v>
      </c>
      <c r="B57" s="11" t="s">
        <v>2335</v>
      </c>
      <c r="C57" s="12">
        <v>0</v>
      </c>
    </row>
    <row r="58" spans="1:3">
      <c r="A58" s="10">
        <v>52</v>
      </c>
      <c r="B58" s="11" t="s">
        <v>2336</v>
      </c>
      <c r="C58" s="12">
        <v>1260000</v>
      </c>
    </row>
    <row r="59" spans="1:3">
      <c r="A59" s="10">
        <v>53</v>
      </c>
      <c r="B59" s="11" t="s">
        <v>2337</v>
      </c>
      <c r="C59" s="12">
        <v>0</v>
      </c>
    </row>
    <row r="60" spans="1:3">
      <c r="A60" s="10">
        <v>54</v>
      </c>
      <c r="B60" s="11" t="s">
        <v>2338</v>
      </c>
      <c r="C60" s="12">
        <v>0</v>
      </c>
    </row>
    <row r="61" spans="1:3">
      <c r="A61" s="10">
        <v>55</v>
      </c>
      <c r="B61" s="11" t="s">
        <v>2339</v>
      </c>
      <c r="C61" s="12">
        <v>0</v>
      </c>
    </row>
    <row r="62" spans="1:3">
      <c r="A62" s="10">
        <v>56</v>
      </c>
      <c r="B62" s="11" t="s">
        <v>2340</v>
      </c>
      <c r="C62" s="12">
        <v>0</v>
      </c>
    </row>
    <row r="63" spans="1:3">
      <c r="A63" s="10">
        <v>57</v>
      </c>
      <c r="B63" s="11" t="s">
        <v>2341</v>
      </c>
      <c r="C63" s="12">
        <v>0</v>
      </c>
    </row>
    <row r="64" spans="1:3">
      <c r="A64" s="10">
        <v>58</v>
      </c>
      <c r="B64" s="11" t="s">
        <v>2342</v>
      </c>
      <c r="C64" s="12">
        <v>0</v>
      </c>
    </row>
    <row r="65" spans="1:3">
      <c r="A65" s="10">
        <v>59</v>
      </c>
      <c r="B65" s="11" t="s">
        <v>2343</v>
      </c>
      <c r="C65" s="12">
        <v>0</v>
      </c>
    </row>
    <row r="66" spans="1:3">
      <c r="A66" s="10">
        <v>60</v>
      </c>
      <c r="B66" s="11" t="s">
        <v>2344</v>
      </c>
      <c r="C66" s="12">
        <v>500000</v>
      </c>
    </row>
    <row r="67" spans="1:3">
      <c r="A67" s="10">
        <v>61</v>
      </c>
      <c r="B67" s="11" t="s">
        <v>2345</v>
      </c>
      <c r="C67" s="12">
        <v>0</v>
      </c>
    </row>
    <row r="68" spans="1:3">
      <c r="A68" s="10">
        <v>62</v>
      </c>
      <c r="B68" s="11" t="s">
        <v>2346</v>
      </c>
      <c r="C68" s="12">
        <v>2263100</v>
      </c>
    </row>
    <row r="69" spans="1:3">
      <c r="A69" s="10">
        <v>63</v>
      </c>
      <c r="B69" s="11" t="s">
        <v>2347</v>
      </c>
      <c r="C69" s="12">
        <v>47101000</v>
      </c>
    </row>
    <row r="70" spans="1:3">
      <c r="A70" s="10">
        <v>64</v>
      </c>
      <c r="B70" s="11" t="s">
        <v>2348</v>
      </c>
      <c r="C70" s="12">
        <v>0</v>
      </c>
    </row>
    <row r="71" spans="1:3">
      <c r="A71" s="10">
        <v>65</v>
      </c>
      <c r="B71" s="11" t="s">
        <v>2248</v>
      </c>
      <c r="C71" s="12">
        <v>15702000</v>
      </c>
    </row>
    <row r="72" spans="1:3">
      <c r="A72" s="10">
        <v>66</v>
      </c>
      <c r="B72" s="11" t="s">
        <v>2349</v>
      </c>
      <c r="C72" s="12">
        <v>14416272</v>
      </c>
    </row>
    <row r="73" spans="1:3">
      <c r="A73" s="10">
        <v>67</v>
      </c>
      <c r="B73" s="11" t="s">
        <v>2350</v>
      </c>
      <c r="C73" s="12">
        <v>14341163</v>
      </c>
    </row>
    <row r="74" spans="1:3">
      <c r="A74" s="10">
        <v>68</v>
      </c>
      <c r="B74" s="11" t="s">
        <v>2351</v>
      </c>
      <c r="C74" s="12">
        <v>44272350</v>
      </c>
    </row>
    <row r="75" spans="1:3">
      <c r="A75" s="10">
        <v>69</v>
      </c>
      <c r="B75" s="11" t="s">
        <v>2247</v>
      </c>
      <c r="C75" s="12">
        <v>37910000</v>
      </c>
    </row>
    <row r="76" spans="1:3">
      <c r="A76" s="10">
        <v>70</v>
      </c>
      <c r="B76" s="11" t="s">
        <v>2234</v>
      </c>
      <c r="C76" s="12">
        <v>0</v>
      </c>
    </row>
    <row r="77" spans="1:3">
      <c r="A77" s="10">
        <v>71</v>
      </c>
      <c r="B77" s="11" t="s">
        <v>2352</v>
      </c>
      <c r="C77" s="12">
        <v>480363</v>
      </c>
    </row>
    <row r="78" spans="1:3">
      <c r="A78" s="10">
        <v>72</v>
      </c>
      <c r="B78" s="11" t="s">
        <v>2353</v>
      </c>
      <c r="C78" s="12">
        <v>3262000</v>
      </c>
    </row>
    <row r="79" spans="1:3">
      <c r="A79" s="10">
        <v>73</v>
      </c>
      <c r="B79" s="11" t="s">
        <v>2354</v>
      </c>
      <c r="C79" s="12">
        <v>39308174</v>
      </c>
    </row>
    <row r="80" spans="1:3">
      <c r="A80" s="10">
        <v>74</v>
      </c>
      <c r="B80" s="11" t="s">
        <v>2355</v>
      </c>
      <c r="C80" s="12">
        <v>4399000</v>
      </c>
    </row>
    <row r="81" spans="1:3">
      <c r="A81" s="10">
        <v>75</v>
      </c>
      <c r="B81" s="11" t="s">
        <v>2356</v>
      </c>
      <c r="C81" s="12">
        <v>2920000</v>
      </c>
    </row>
    <row r="82" spans="1:3">
      <c r="A82" s="10">
        <v>76</v>
      </c>
      <c r="B82" s="11" t="s">
        <v>2267</v>
      </c>
      <c r="C82" s="12">
        <v>69603144</v>
      </c>
    </row>
    <row r="83" spans="1:3">
      <c r="A83" s="10">
        <v>77</v>
      </c>
      <c r="B83" s="11" t="s">
        <v>2357</v>
      </c>
      <c r="C83" s="12">
        <v>29503433</v>
      </c>
    </row>
    <row r="84" spans="1:3">
      <c r="A84" s="10">
        <v>78</v>
      </c>
      <c r="B84" s="11" t="s">
        <v>2358</v>
      </c>
      <c r="C84" s="12">
        <v>0</v>
      </c>
    </row>
    <row r="85" spans="1:3">
      <c r="A85" s="10">
        <v>79</v>
      </c>
      <c r="B85" s="11" t="s">
        <v>2359</v>
      </c>
      <c r="C85" s="12">
        <v>0</v>
      </c>
    </row>
    <row r="86" spans="1:3">
      <c r="A86" s="10">
        <v>80</v>
      </c>
      <c r="B86" s="11" t="s">
        <v>2360</v>
      </c>
      <c r="C86" s="12">
        <v>0</v>
      </c>
    </row>
    <row r="87" spans="1:3">
      <c r="A87" s="10">
        <v>81</v>
      </c>
      <c r="B87" s="11" t="s">
        <v>2361</v>
      </c>
      <c r="C87" s="12">
        <v>0</v>
      </c>
    </row>
    <row r="88" spans="1:3">
      <c r="A88" s="10">
        <v>82</v>
      </c>
      <c r="B88" s="11" t="s">
        <v>2362</v>
      </c>
      <c r="C88" s="12">
        <v>0</v>
      </c>
    </row>
    <row r="89" spans="1:3">
      <c r="A89" s="10">
        <v>83</v>
      </c>
      <c r="B89" s="11" t="s">
        <v>2363</v>
      </c>
      <c r="C89" s="12">
        <v>0</v>
      </c>
    </row>
    <row r="90" spans="1:3">
      <c r="A90" s="10">
        <v>84</v>
      </c>
      <c r="B90" s="11" t="s">
        <v>2364</v>
      </c>
      <c r="C90" s="12">
        <v>0</v>
      </c>
    </row>
    <row r="91" spans="1:3">
      <c r="A91" s="10">
        <v>85</v>
      </c>
      <c r="B91" s="11" t="s">
        <v>2365</v>
      </c>
      <c r="C91" s="12">
        <v>31029000</v>
      </c>
    </row>
    <row r="92" spans="1:3">
      <c r="A92" s="10">
        <v>86</v>
      </c>
      <c r="B92" s="11" t="s">
        <v>2366</v>
      </c>
      <c r="C92" s="12">
        <v>0</v>
      </c>
    </row>
    <row r="93" spans="1:3">
      <c r="A93" s="13">
        <v>87</v>
      </c>
      <c r="B93" s="14" t="s">
        <v>2282</v>
      </c>
      <c r="C93" s="12">
        <v>0</v>
      </c>
    </row>
    <row r="94" spans="1:3">
      <c r="A94" s="13"/>
      <c r="B94" s="15"/>
      <c r="C94" s="12"/>
    </row>
    <row r="95" spans="1:3">
      <c r="A95" s="2232" t="s">
        <v>9</v>
      </c>
      <c r="B95" s="2233"/>
      <c r="C95" s="16">
        <f>SUM(C7:C93)</f>
        <v>1119204595</v>
      </c>
    </row>
    <row r="97" spans="4:4">
      <c r="D97" s="17"/>
    </row>
    <row r="98" spans="4:4">
      <c r="D98" s="17"/>
    </row>
  </sheetData>
  <mergeCells count="4">
    <mergeCell ref="A1:C1"/>
    <mergeCell ref="A2:C2"/>
    <mergeCell ref="A3:C3"/>
    <mergeCell ref="A95:B95"/>
  </mergeCells>
  <pageMargins left="1.1299999999999999" right="0.70866141732283472" top="0.74803149606299213" bottom="1.51" header="0.31496062992125984" footer="0.31496062992125984"/>
  <pageSetup paperSize="9" scale="85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00B0F0"/>
  </sheetPr>
  <dimension ref="A7:W92"/>
  <sheetViews>
    <sheetView zoomScale="80" zoomScaleNormal="80" workbookViewId="0">
      <selection activeCell="G21" sqref="G21"/>
    </sheetView>
  </sheetViews>
  <sheetFormatPr defaultColWidth="20.5703125" defaultRowHeight="12.75"/>
  <cols>
    <col min="1" max="1" width="3.85546875" style="1310" customWidth="1"/>
    <col min="2" max="2" width="4.42578125" style="1310" customWidth="1"/>
    <col min="3" max="3" width="68.7109375" style="1310" customWidth="1"/>
    <col min="4" max="4" width="18.85546875" style="1310" customWidth="1"/>
    <col min="5" max="5" width="20.5703125" style="1310" customWidth="1"/>
    <col min="6" max="6" width="19.42578125" style="1310" customWidth="1"/>
    <col min="7" max="7" width="22" style="1310" customWidth="1"/>
    <col min="8" max="8" width="21" style="1310" customWidth="1"/>
    <col min="9" max="9" width="20.140625" style="1310" customWidth="1"/>
    <col min="10" max="10" width="21.28515625" style="1310" customWidth="1"/>
    <col min="11" max="11" width="19.85546875" style="1310" customWidth="1"/>
    <col min="12" max="12" width="21.42578125" style="1310" customWidth="1"/>
    <col min="13" max="14" width="20.5703125" style="1309"/>
    <col min="15" max="16384" width="20.5703125" style="1310"/>
  </cols>
  <sheetData>
    <row r="7" spans="1:19" ht="15.75">
      <c r="B7" s="1968" t="s">
        <v>141</v>
      </c>
      <c r="C7" s="1968"/>
      <c r="D7" s="1968"/>
      <c r="E7" s="1968"/>
      <c r="F7" s="1968"/>
      <c r="G7" s="1968"/>
      <c r="H7" s="1968"/>
      <c r="I7" s="1968"/>
      <c r="J7" s="1968"/>
      <c r="K7" s="1968"/>
      <c r="L7" s="1968"/>
      <c r="M7" s="1363"/>
    </row>
    <row r="8" spans="1:19" ht="15.75">
      <c r="B8" s="1968" t="s">
        <v>142</v>
      </c>
      <c r="C8" s="1968"/>
      <c r="D8" s="1968"/>
      <c r="E8" s="1968"/>
      <c r="F8" s="1968"/>
      <c r="G8" s="1968"/>
      <c r="H8" s="1968"/>
      <c r="I8" s="1968"/>
      <c r="J8" s="1968"/>
      <c r="K8" s="1968"/>
      <c r="L8" s="1968"/>
    </row>
    <row r="9" spans="1:19" ht="14.25">
      <c r="B9" s="1311"/>
      <c r="C9" s="1311"/>
      <c r="D9" s="1311"/>
      <c r="E9" s="1311"/>
      <c r="F9" s="1311"/>
      <c r="G9" s="1311"/>
      <c r="H9" s="1311"/>
      <c r="I9" s="1364"/>
    </row>
    <row r="10" spans="1:19" ht="14.25">
      <c r="B10" s="1311"/>
      <c r="C10" s="1311"/>
      <c r="D10" s="1311"/>
      <c r="E10" s="1311"/>
      <c r="F10" s="1311"/>
      <c r="G10" s="1311"/>
      <c r="H10" s="1311"/>
      <c r="I10" s="1311"/>
      <c r="J10" s="1311"/>
      <c r="K10" s="1311"/>
      <c r="L10" s="459" t="s">
        <v>3</v>
      </c>
    </row>
    <row r="11" spans="1:19" ht="15">
      <c r="B11" s="1974" t="s">
        <v>143</v>
      </c>
      <c r="C11" s="1974" t="s">
        <v>144</v>
      </c>
      <c r="D11" s="1974" t="s">
        <v>145</v>
      </c>
      <c r="E11" s="1974" t="s">
        <v>146</v>
      </c>
      <c r="F11" s="1974" t="s">
        <v>147</v>
      </c>
      <c r="G11" s="1974" t="s">
        <v>148</v>
      </c>
      <c r="H11" s="1974" t="s">
        <v>149</v>
      </c>
      <c r="I11" s="1969" t="s">
        <v>150</v>
      </c>
      <c r="J11" s="1970"/>
      <c r="K11" s="1971"/>
      <c r="L11" s="1974" t="s">
        <v>151</v>
      </c>
    </row>
    <row r="12" spans="1:19" ht="15">
      <c r="B12" s="1975"/>
      <c r="C12" s="1975"/>
      <c r="D12" s="1975"/>
      <c r="E12" s="1975"/>
      <c r="F12" s="1975"/>
      <c r="G12" s="1975"/>
      <c r="H12" s="1975"/>
      <c r="I12" s="1365" t="s">
        <v>152</v>
      </c>
      <c r="J12" s="1365" t="s">
        <v>153</v>
      </c>
      <c r="K12" s="1365" t="s">
        <v>154</v>
      </c>
      <c r="L12" s="1975"/>
      <c r="M12" s="1366"/>
    </row>
    <row r="13" spans="1:19">
      <c r="B13" s="1312">
        <v>1</v>
      </c>
      <c r="C13" s="1312">
        <v>2</v>
      </c>
      <c r="D13" s="1312"/>
      <c r="E13" s="1312"/>
      <c r="F13" s="1312"/>
      <c r="G13" s="1312"/>
      <c r="H13" s="1312"/>
      <c r="I13" s="1312"/>
      <c r="J13" s="1312"/>
      <c r="K13" s="1312"/>
      <c r="L13" s="1312"/>
      <c r="M13" s="1367"/>
    </row>
    <row r="14" spans="1:19">
      <c r="B14" s="1313"/>
      <c r="C14" s="1313"/>
      <c r="D14" s="1314"/>
      <c r="E14" s="1314"/>
      <c r="F14" s="1314"/>
      <c r="G14" s="1314"/>
      <c r="H14" s="1315"/>
      <c r="I14" s="1313"/>
      <c r="J14" s="1313"/>
      <c r="K14" s="1313"/>
      <c r="L14" s="1313"/>
      <c r="M14" s="1366"/>
    </row>
    <row r="15" spans="1:19" s="1306" customFormat="1">
      <c r="B15" s="1316">
        <v>1</v>
      </c>
      <c r="C15" s="1317" t="s">
        <v>155</v>
      </c>
      <c r="D15" s="1318">
        <v>16110729142</v>
      </c>
      <c r="E15" s="1318">
        <v>109576232936.48</v>
      </c>
      <c r="F15" s="1318">
        <v>57595460000</v>
      </c>
      <c r="G15" s="1318">
        <v>271639943155</v>
      </c>
      <c r="H15" s="1319">
        <f>SUM(D15:G15)</f>
        <v>454922365233.47998</v>
      </c>
      <c r="I15" s="1319">
        <v>171192039945</v>
      </c>
      <c r="J15" s="1319">
        <v>102011505185</v>
      </c>
      <c r="K15" s="1319">
        <v>172519379427.48001</v>
      </c>
      <c r="L15" s="1319">
        <f>SUM(I15:K15)</f>
        <v>445722924557.47998</v>
      </c>
      <c r="M15" s="1368"/>
      <c r="N15" s="1368"/>
      <c r="O15" s="1369"/>
      <c r="P15" s="1369"/>
      <c r="Q15" s="1369"/>
      <c r="R15" s="1369"/>
      <c r="S15" s="1369"/>
    </row>
    <row r="16" spans="1:19">
      <c r="A16" s="1306"/>
      <c r="B16" s="1320">
        <v>2</v>
      </c>
      <c r="C16" s="1317" t="s">
        <v>156</v>
      </c>
      <c r="D16" s="1318">
        <v>3481985852</v>
      </c>
      <c r="E16" s="1318">
        <v>10732674742</v>
      </c>
      <c r="F16" s="1318">
        <v>0</v>
      </c>
      <c r="G16" s="1318">
        <v>33044860824.16</v>
      </c>
      <c r="H16" s="1319">
        <f t="shared" ref="H16:H51" si="0">SUM(D16:G16)</f>
        <v>47259521418.160004</v>
      </c>
      <c r="I16" s="1319">
        <v>7235410254</v>
      </c>
      <c r="J16" s="1319">
        <v>25809450570.16</v>
      </c>
      <c r="K16" s="1319">
        <v>13169977670</v>
      </c>
      <c r="L16" s="1319">
        <f t="shared" ref="L16:L51" si="1">SUM(I16:K16)</f>
        <v>46214838494.160004</v>
      </c>
      <c r="M16" s="1368"/>
      <c r="N16" s="1370"/>
      <c r="O16" s="1371"/>
      <c r="P16" s="1371"/>
      <c r="Q16" s="1371"/>
      <c r="R16" s="1371"/>
      <c r="S16" s="1371"/>
    </row>
    <row r="17" spans="1:17">
      <c r="A17" s="1306"/>
      <c r="B17" s="1316">
        <v>3</v>
      </c>
      <c r="C17" s="1317" t="s">
        <v>157</v>
      </c>
      <c r="D17" s="1318">
        <v>3382151861</v>
      </c>
      <c r="E17" s="1318">
        <v>18860961513</v>
      </c>
      <c r="F17" s="1318">
        <v>129000000</v>
      </c>
      <c r="G17" s="1318">
        <v>115064010017.06</v>
      </c>
      <c r="H17" s="1319">
        <f t="shared" si="0"/>
        <v>137436123391.06</v>
      </c>
      <c r="I17" s="1319">
        <v>12093845176</v>
      </c>
      <c r="J17" s="1319">
        <v>106644300061.72</v>
      </c>
      <c r="K17" s="1319">
        <v>20815300566</v>
      </c>
      <c r="L17" s="1319">
        <f>SUM(I17:K17)-3674135220.66</f>
        <v>135879310583.06</v>
      </c>
      <c r="M17" s="1366"/>
      <c r="N17" s="1370"/>
    </row>
    <row r="18" spans="1:17">
      <c r="A18" s="1306"/>
      <c r="B18" s="1316">
        <v>4</v>
      </c>
      <c r="C18" s="1317" t="s">
        <v>158</v>
      </c>
      <c r="D18" s="1318">
        <v>2043841938</v>
      </c>
      <c r="E18" s="1318">
        <v>8056973316</v>
      </c>
      <c r="F18" s="1318">
        <v>0</v>
      </c>
      <c r="G18" s="1318">
        <v>37238852120.919998</v>
      </c>
      <c r="H18" s="1319">
        <f t="shared" si="0"/>
        <v>47339667374.919998</v>
      </c>
      <c r="I18" s="1319">
        <v>11808734368</v>
      </c>
      <c r="J18" s="1319">
        <v>31702357229.919998</v>
      </c>
      <c r="K18" s="1319">
        <v>9845191309</v>
      </c>
      <c r="L18" s="1319">
        <f>SUM(I18:K18)-6272519477</f>
        <v>47083763429.919998</v>
      </c>
      <c r="M18" s="1366"/>
      <c r="N18" s="1370"/>
    </row>
    <row r="19" spans="1:17">
      <c r="A19" s="1306"/>
      <c r="B19" s="1316">
        <v>5</v>
      </c>
      <c r="C19" s="1317" t="s">
        <v>159</v>
      </c>
      <c r="D19" s="1318">
        <v>4714238812</v>
      </c>
      <c r="E19" s="1318">
        <v>13407453864</v>
      </c>
      <c r="F19" s="1318">
        <v>0</v>
      </c>
      <c r="G19" s="1318">
        <v>205096247533.98999</v>
      </c>
      <c r="H19" s="1319">
        <f t="shared" si="0"/>
        <v>223217940209.98999</v>
      </c>
      <c r="I19" s="1319">
        <v>8615489377</v>
      </c>
      <c r="J19" s="1319">
        <v>196480758156.98999</v>
      </c>
      <c r="K19" s="1319">
        <v>15063057635</v>
      </c>
      <c r="L19" s="1319">
        <f t="shared" si="1"/>
        <v>220159305168.98999</v>
      </c>
      <c r="M19" s="1372"/>
      <c r="N19" s="1370"/>
    </row>
    <row r="20" spans="1:17">
      <c r="A20" s="1306"/>
      <c r="B20" s="1316">
        <v>6</v>
      </c>
      <c r="C20" s="1317" t="s">
        <v>160</v>
      </c>
      <c r="D20" s="1318">
        <v>1743954083</v>
      </c>
      <c r="E20" s="1318">
        <v>1531833123</v>
      </c>
      <c r="F20" s="1318">
        <v>0</v>
      </c>
      <c r="G20" s="1318">
        <v>22464084785</v>
      </c>
      <c r="H20" s="1319">
        <f t="shared" si="0"/>
        <v>25739871991</v>
      </c>
      <c r="I20" s="1319">
        <v>2652306985</v>
      </c>
      <c r="J20" s="1319">
        <v>19811777800</v>
      </c>
      <c r="K20" s="1319">
        <v>2701296274</v>
      </c>
      <c r="L20" s="1319">
        <f t="shared" si="1"/>
        <v>25165381059</v>
      </c>
      <c r="M20" s="1366"/>
      <c r="N20" s="1370"/>
      <c r="P20" s="1362"/>
    </row>
    <row r="21" spans="1:17" s="1306" customFormat="1" ht="25.5">
      <c r="B21" s="1321">
        <v>7</v>
      </c>
      <c r="C21" s="1322" t="s">
        <v>161</v>
      </c>
      <c r="D21" s="1318">
        <v>839058075</v>
      </c>
      <c r="E21" s="1318">
        <v>6822640811</v>
      </c>
      <c r="F21" s="1318">
        <v>0</v>
      </c>
      <c r="G21" s="1318">
        <v>9689832998</v>
      </c>
      <c r="H21" s="1319">
        <f t="shared" si="0"/>
        <v>17351531884</v>
      </c>
      <c r="I21" s="1319">
        <v>4232752598</v>
      </c>
      <c r="J21" s="1319">
        <v>5457080400</v>
      </c>
      <c r="K21" s="1319">
        <v>7353626081</v>
      </c>
      <c r="L21" s="1319">
        <f t="shared" si="1"/>
        <v>17043459079</v>
      </c>
      <c r="M21" s="1366"/>
      <c r="N21" s="1368"/>
      <c r="P21" s="1373"/>
    </row>
    <row r="22" spans="1:17">
      <c r="A22" s="1306"/>
      <c r="B22" s="1321">
        <v>8</v>
      </c>
      <c r="C22" s="1323" t="s">
        <v>162</v>
      </c>
      <c r="D22" s="1324">
        <v>735204999</v>
      </c>
      <c r="E22" s="1324">
        <v>3870788327</v>
      </c>
      <c r="F22" s="1324">
        <v>0</v>
      </c>
      <c r="G22" s="1324">
        <v>14223637991.110001</v>
      </c>
      <c r="H22" s="1325">
        <f t="shared" si="0"/>
        <v>18829631317.110001</v>
      </c>
      <c r="I22" s="1325">
        <v>3055856216</v>
      </c>
      <c r="J22" s="1325">
        <v>11167781775.110001</v>
      </c>
      <c r="K22" s="1325">
        <v>4307660638</v>
      </c>
      <c r="L22" s="1325">
        <f t="shared" si="1"/>
        <v>18531298629.110001</v>
      </c>
      <c r="M22" s="1366"/>
      <c r="N22" s="1370"/>
      <c r="P22" s="1362"/>
    </row>
    <row r="23" spans="1:17">
      <c r="A23" s="1306"/>
      <c r="B23" s="1316">
        <v>9</v>
      </c>
      <c r="C23" s="1326" t="s">
        <v>163</v>
      </c>
      <c r="D23" s="1327">
        <v>565817166</v>
      </c>
      <c r="E23" s="1327">
        <v>5137373200</v>
      </c>
      <c r="F23" s="1327">
        <v>0</v>
      </c>
      <c r="G23" s="1327">
        <v>6960474813</v>
      </c>
      <c r="H23" s="1319">
        <f t="shared" si="0"/>
        <v>12663665179</v>
      </c>
      <c r="I23" s="1319">
        <v>3510476613</v>
      </c>
      <c r="J23" s="1319">
        <v>3448978200</v>
      </c>
      <c r="K23" s="1319">
        <v>5562823164</v>
      </c>
      <c r="L23" s="1319">
        <v>12522277977</v>
      </c>
      <c r="M23" s="1366"/>
      <c r="N23" s="1370"/>
      <c r="P23" s="1362"/>
    </row>
    <row r="24" spans="1:17" ht="25.5">
      <c r="A24" s="1306"/>
      <c r="B24" s="1321">
        <v>10</v>
      </c>
      <c r="C24" s="1323" t="s">
        <v>164</v>
      </c>
      <c r="D24" s="1327">
        <v>607989467</v>
      </c>
      <c r="E24" s="1327">
        <v>4897287357</v>
      </c>
      <c r="F24" s="1327">
        <v>0</v>
      </c>
      <c r="G24" s="1327">
        <v>6342292389</v>
      </c>
      <c r="H24" s="1319">
        <f t="shared" si="0"/>
        <v>11847569213</v>
      </c>
      <c r="I24" s="1319">
        <v>2810838389</v>
      </c>
      <c r="J24" s="1319">
        <v>3531454000</v>
      </c>
      <c r="K24" s="1319">
        <v>5432315002</v>
      </c>
      <c r="L24" s="1319">
        <f t="shared" si="1"/>
        <v>11774607391</v>
      </c>
      <c r="M24" s="1366"/>
      <c r="N24" s="1370"/>
      <c r="P24" s="1362"/>
      <c r="Q24" s="1362"/>
    </row>
    <row r="25" spans="1:17">
      <c r="B25" s="1316">
        <v>11</v>
      </c>
      <c r="C25" s="1326" t="s">
        <v>165</v>
      </c>
      <c r="D25" s="1327">
        <v>599317065</v>
      </c>
      <c r="E25" s="1327">
        <v>4642002435</v>
      </c>
      <c r="F25" s="1327">
        <v>0</v>
      </c>
      <c r="G25" s="1327">
        <v>4953077937</v>
      </c>
      <c r="H25" s="1319">
        <f t="shared" si="0"/>
        <v>10194397437</v>
      </c>
      <c r="I25" s="1319">
        <v>2092539289</v>
      </c>
      <c r="J25" s="1319">
        <v>2860538648</v>
      </c>
      <c r="K25" s="1319">
        <v>5055957699</v>
      </c>
      <c r="L25" s="1319">
        <f t="shared" si="1"/>
        <v>10009035636</v>
      </c>
      <c r="M25" s="1366"/>
      <c r="N25" s="1370"/>
      <c r="P25" s="1362"/>
    </row>
    <row r="26" spans="1:17">
      <c r="B26" s="1321">
        <v>12</v>
      </c>
      <c r="C26" s="1323" t="s">
        <v>166</v>
      </c>
      <c r="D26" s="1324">
        <v>1519671707</v>
      </c>
      <c r="E26" s="1324">
        <v>4967683228</v>
      </c>
      <c r="F26" s="1324">
        <v>0</v>
      </c>
      <c r="G26" s="1324">
        <v>10904854246</v>
      </c>
      <c r="H26" s="1325">
        <f t="shared" si="0"/>
        <v>17392209181</v>
      </c>
      <c r="I26" s="1325">
        <v>5114909646</v>
      </c>
      <c r="J26" s="1325">
        <v>5789944600</v>
      </c>
      <c r="K26" s="1325">
        <v>5527235442</v>
      </c>
      <c r="L26" s="1325">
        <f t="shared" si="1"/>
        <v>16432089688</v>
      </c>
      <c r="M26" s="1366"/>
      <c r="N26" s="1370"/>
      <c r="P26" s="1362"/>
    </row>
    <row r="27" spans="1:17">
      <c r="B27" s="1321">
        <v>13</v>
      </c>
      <c r="C27" s="1326" t="s">
        <v>167</v>
      </c>
      <c r="D27" s="1327">
        <v>530181216</v>
      </c>
      <c r="E27" s="1327">
        <v>4059515452</v>
      </c>
      <c r="F27" s="1327">
        <v>0</v>
      </c>
      <c r="G27" s="1327">
        <v>14302121833</v>
      </c>
      <c r="H27" s="1325">
        <f t="shared" si="0"/>
        <v>18891818501</v>
      </c>
      <c r="I27" s="1325">
        <v>6464663433</v>
      </c>
      <c r="J27" s="1325">
        <v>7837458400</v>
      </c>
      <c r="K27" s="1325">
        <v>4572841751</v>
      </c>
      <c r="L27" s="1325">
        <f t="shared" si="1"/>
        <v>18874963584</v>
      </c>
      <c r="M27" s="1366"/>
      <c r="N27" s="1370"/>
      <c r="P27" s="1362"/>
    </row>
    <row r="28" spans="1:17">
      <c r="B28" s="1316">
        <v>14</v>
      </c>
      <c r="C28" s="1326" t="s">
        <v>168</v>
      </c>
      <c r="D28" s="1327">
        <v>953789447</v>
      </c>
      <c r="E28" s="1327">
        <v>6366595270</v>
      </c>
      <c r="F28" s="1327">
        <v>1464401000</v>
      </c>
      <c r="G28" s="1327">
        <v>8327682026</v>
      </c>
      <c r="H28" s="1319">
        <f t="shared" si="0"/>
        <v>17112467743</v>
      </c>
      <c r="I28" s="1319">
        <v>2871142626</v>
      </c>
      <c r="J28" s="1319">
        <v>5456539400</v>
      </c>
      <c r="K28" s="1319">
        <v>8521381170</v>
      </c>
      <c r="L28" s="1319">
        <f t="shared" si="1"/>
        <v>16849063196</v>
      </c>
      <c r="M28" s="1366"/>
      <c r="N28" s="1370"/>
      <c r="P28" s="1362"/>
    </row>
    <row r="29" spans="1:17">
      <c r="B29" s="1316">
        <v>15</v>
      </c>
      <c r="C29" s="1326" t="s">
        <v>169</v>
      </c>
      <c r="D29" s="1327">
        <v>282248499</v>
      </c>
      <c r="E29" s="1327">
        <v>2568529697</v>
      </c>
      <c r="F29" s="1327">
        <v>0</v>
      </c>
      <c r="G29" s="1327">
        <v>6202212213</v>
      </c>
      <c r="H29" s="1319">
        <f t="shared" si="0"/>
        <v>9052990409</v>
      </c>
      <c r="I29" s="1319">
        <v>2992684813</v>
      </c>
      <c r="J29" s="1319">
        <v>3206412400</v>
      </c>
      <c r="K29" s="1319">
        <v>2697681870</v>
      </c>
      <c r="L29" s="1319">
        <f t="shared" si="1"/>
        <v>8896779083</v>
      </c>
      <c r="M29" s="1366"/>
      <c r="N29" s="1370"/>
      <c r="P29" s="1362"/>
    </row>
    <row r="30" spans="1:17">
      <c r="B30" s="1316">
        <v>16</v>
      </c>
      <c r="C30" s="1326" t="s">
        <v>170</v>
      </c>
      <c r="D30" s="1327">
        <v>1696420666</v>
      </c>
      <c r="E30" s="1327">
        <v>8483358309</v>
      </c>
      <c r="F30" s="1327">
        <v>606706067</v>
      </c>
      <c r="G30" s="1327">
        <v>9912452301</v>
      </c>
      <c r="H30" s="1319">
        <f t="shared" si="0"/>
        <v>20698937343</v>
      </c>
      <c r="I30" s="1319">
        <v>3560995893</v>
      </c>
      <c r="J30" s="1319">
        <v>6351456408</v>
      </c>
      <c r="K30" s="1319">
        <v>10653720374</v>
      </c>
      <c r="L30" s="1319">
        <f t="shared" si="1"/>
        <v>20566172675</v>
      </c>
      <c r="M30" s="1366"/>
      <c r="N30" s="1370"/>
      <c r="P30" s="1362"/>
    </row>
    <row r="31" spans="1:17">
      <c r="B31" s="1316">
        <v>17</v>
      </c>
      <c r="C31" s="1328" t="s">
        <v>171</v>
      </c>
      <c r="D31" s="1329">
        <v>946313927</v>
      </c>
      <c r="E31" s="1329">
        <v>7351393979</v>
      </c>
      <c r="F31" s="1329">
        <v>0</v>
      </c>
      <c r="G31" s="1329">
        <v>8366269470</v>
      </c>
      <c r="H31" s="1319">
        <f t="shared" si="0"/>
        <v>16663977376</v>
      </c>
      <c r="I31" s="1319">
        <v>2967443820</v>
      </c>
      <c r="J31" s="1319">
        <v>5398825650</v>
      </c>
      <c r="K31" s="1319">
        <v>7730579894</v>
      </c>
      <c r="L31" s="1319">
        <f t="shared" si="1"/>
        <v>16096849364</v>
      </c>
      <c r="M31" s="1366"/>
      <c r="N31" s="1370"/>
      <c r="P31" s="1362"/>
    </row>
    <row r="32" spans="1:17" s="1306" customFormat="1">
      <c r="B32" s="1316">
        <v>18</v>
      </c>
      <c r="C32" s="1330" t="s">
        <v>172</v>
      </c>
      <c r="D32" s="1331">
        <v>412206093</v>
      </c>
      <c r="E32" s="1331">
        <v>2357051164</v>
      </c>
      <c r="F32" s="1331">
        <v>671437900</v>
      </c>
      <c r="G32" s="1331">
        <v>5322209127</v>
      </c>
      <c r="H32" s="1319">
        <f t="shared" si="0"/>
        <v>8762904284</v>
      </c>
      <c r="I32" s="1374">
        <v>2408895127</v>
      </c>
      <c r="J32" s="1319">
        <v>2912675000</v>
      </c>
      <c r="K32" s="1319">
        <f>3340466341</f>
        <v>3340466341</v>
      </c>
      <c r="L32" s="1319">
        <f t="shared" si="1"/>
        <v>8662036468</v>
      </c>
      <c r="M32" s="1366"/>
      <c r="N32" s="1368"/>
    </row>
    <row r="33" spans="2:15">
      <c r="B33" s="1316">
        <v>19</v>
      </c>
      <c r="C33" s="1326" t="s">
        <v>173</v>
      </c>
      <c r="D33" s="1327">
        <v>667832853</v>
      </c>
      <c r="E33" s="1327">
        <v>5633516933</v>
      </c>
      <c r="F33" s="1327">
        <v>387275000</v>
      </c>
      <c r="G33" s="1327">
        <v>10721064504</v>
      </c>
      <c r="H33" s="1319">
        <f t="shared" si="0"/>
        <v>17409689290</v>
      </c>
      <c r="I33" s="1319">
        <v>4472004454</v>
      </c>
      <c r="J33" s="1319">
        <v>6249060050</v>
      </c>
      <c r="K33" s="1319">
        <v>6613454984</v>
      </c>
      <c r="L33" s="1319">
        <f t="shared" si="1"/>
        <v>17334519488</v>
      </c>
      <c r="M33" s="1366"/>
      <c r="N33" s="1370"/>
      <c r="O33" s="1362"/>
    </row>
    <row r="34" spans="2:15">
      <c r="B34" s="1316">
        <v>20</v>
      </c>
      <c r="C34" s="1326" t="s">
        <v>174</v>
      </c>
      <c r="D34" s="1327">
        <v>0</v>
      </c>
      <c r="E34" s="1327">
        <v>0</v>
      </c>
      <c r="F34" s="1327">
        <v>0</v>
      </c>
      <c r="G34" s="1327">
        <v>25238253077</v>
      </c>
      <c r="H34" s="1319">
        <f t="shared" si="0"/>
        <v>25238253077</v>
      </c>
      <c r="I34" s="1319">
        <v>20585253077</v>
      </c>
      <c r="J34" s="1319">
        <v>4653000000</v>
      </c>
      <c r="K34" s="1319">
        <v>0</v>
      </c>
      <c r="L34" s="1319">
        <f t="shared" si="1"/>
        <v>25238253077</v>
      </c>
      <c r="M34" s="1366"/>
      <c r="N34" s="1370"/>
      <c r="O34" s="1362"/>
    </row>
    <row r="35" spans="2:15">
      <c r="B35" s="1316">
        <v>21</v>
      </c>
      <c r="C35" s="1326" t="s">
        <v>175</v>
      </c>
      <c r="D35" s="1327">
        <v>84442173</v>
      </c>
      <c r="E35" s="1327">
        <v>0</v>
      </c>
      <c r="F35" s="1327">
        <v>0</v>
      </c>
      <c r="G35" s="1327">
        <v>1161230467</v>
      </c>
      <c r="H35" s="1319">
        <f t="shared" si="0"/>
        <v>1245672640</v>
      </c>
      <c r="I35" s="1319">
        <v>232390467</v>
      </c>
      <c r="J35" s="1319">
        <v>928840000</v>
      </c>
      <c r="K35" s="1319">
        <v>84442173</v>
      </c>
      <c r="L35" s="1319">
        <f t="shared" si="1"/>
        <v>1245672640</v>
      </c>
      <c r="M35" s="1366"/>
      <c r="N35" s="1370"/>
    </row>
    <row r="36" spans="2:15">
      <c r="B36" s="1316">
        <v>22</v>
      </c>
      <c r="C36" s="1326" t="s">
        <v>176</v>
      </c>
      <c r="D36" s="1327">
        <v>5910143426</v>
      </c>
      <c r="E36" s="1327">
        <v>50220648258</v>
      </c>
      <c r="F36" s="1327">
        <v>747160431</v>
      </c>
      <c r="G36" s="1327">
        <v>59426793275</v>
      </c>
      <c r="H36" s="1319">
        <f t="shared" si="0"/>
        <v>116304745390</v>
      </c>
      <c r="I36" s="1319">
        <v>22114209647</v>
      </c>
      <c r="J36" s="1319">
        <v>37300088236</v>
      </c>
      <c r="K36" s="1319">
        <v>54234379929</v>
      </c>
      <c r="L36" s="1319">
        <f t="shared" si="1"/>
        <v>113648677812</v>
      </c>
      <c r="M36" s="1366"/>
      <c r="N36" s="1370"/>
    </row>
    <row r="37" spans="2:15" s="1306" customFormat="1">
      <c r="B37" s="1316">
        <v>23</v>
      </c>
      <c r="C37" s="1330" t="s">
        <v>177</v>
      </c>
      <c r="D37" s="1331">
        <v>7852749659</v>
      </c>
      <c r="E37" s="1331">
        <v>67127858713</v>
      </c>
      <c r="F37" s="1331"/>
      <c r="G37" s="1331">
        <v>11135827028</v>
      </c>
      <c r="H37" s="1319">
        <f t="shared" si="0"/>
        <v>86116435400</v>
      </c>
      <c r="I37" s="1319">
        <v>4210256415</v>
      </c>
      <c r="J37" s="1319">
        <v>6925570613</v>
      </c>
      <c r="K37" s="1319">
        <v>74485009928</v>
      </c>
      <c r="L37" s="1319">
        <f t="shared" si="1"/>
        <v>85620836956</v>
      </c>
      <c r="M37" s="1366"/>
      <c r="N37" s="1368"/>
    </row>
    <row r="38" spans="2:15" s="1306" customFormat="1">
      <c r="B38" s="1316" t="s">
        <v>178</v>
      </c>
      <c r="C38" s="1332" t="s">
        <v>179</v>
      </c>
      <c r="D38" s="1333">
        <v>1937269254</v>
      </c>
      <c r="E38" s="1333">
        <v>15919061510</v>
      </c>
      <c r="F38" s="1333">
        <v>0</v>
      </c>
      <c r="G38" s="1333">
        <v>52393094409.620003</v>
      </c>
      <c r="H38" s="1319">
        <f t="shared" si="0"/>
        <v>70249425173.619995</v>
      </c>
      <c r="I38" s="1319">
        <v>15040833705</v>
      </c>
      <c r="J38" s="1319">
        <v>37351820704.620003</v>
      </c>
      <c r="K38" s="1319">
        <f>17718758334</f>
        <v>17718758334</v>
      </c>
      <c r="L38" s="1319">
        <f t="shared" si="1"/>
        <v>70111412743.619995</v>
      </c>
      <c r="M38" s="1366"/>
      <c r="N38" s="1368"/>
    </row>
    <row r="39" spans="2:15">
      <c r="B39" s="1316" t="s">
        <v>180</v>
      </c>
      <c r="C39" s="1334" t="s">
        <v>181</v>
      </c>
      <c r="D39" s="1335">
        <v>0</v>
      </c>
      <c r="E39" s="1335">
        <v>0</v>
      </c>
      <c r="F39" s="1335">
        <v>0</v>
      </c>
      <c r="G39" s="1335">
        <v>700495537188.40002</v>
      </c>
      <c r="H39" s="1319">
        <f t="shared" si="0"/>
        <v>700495537188.40002</v>
      </c>
      <c r="I39" s="1319">
        <v>0</v>
      </c>
      <c r="J39" s="1319">
        <v>700415896739.40002</v>
      </c>
      <c r="K39" s="1319">
        <v>0</v>
      </c>
      <c r="L39" s="1319">
        <f t="shared" si="1"/>
        <v>700415896739.40002</v>
      </c>
      <c r="M39" s="1366"/>
      <c r="N39" s="1370"/>
    </row>
    <row r="40" spans="2:15">
      <c r="B40" s="1316">
        <v>25</v>
      </c>
      <c r="C40" s="1326" t="s">
        <v>182</v>
      </c>
      <c r="D40" s="1327">
        <v>596360835</v>
      </c>
      <c r="E40" s="1327">
        <v>5425063413</v>
      </c>
      <c r="F40" s="1327">
        <v>88390000</v>
      </c>
      <c r="G40" s="1327">
        <v>11341633094</v>
      </c>
      <c r="H40" s="1319">
        <f t="shared" si="0"/>
        <v>17451447342</v>
      </c>
      <c r="I40" s="1319">
        <v>4780539394</v>
      </c>
      <c r="J40" s="1319">
        <v>6561093700</v>
      </c>
      <c r="K40" s="1319">
        <v>6095917329</v>
      </c>
      <c r="L40" s="1319">
        <f t="shared" si="1"/>
        <v>17437550423</v>
      </c>
      <c r="M40" s="1366"/>
      <c r="N40" s="1370"/>
    </row>
    <row r="41" spans="2:15">
      <c r="B41" s="1316">
        <v>26</v>
      </c>
      <c r="C41" s="1326" t="s">
        <v>183</v>
      </c>
      <c r="D41" s="1327">
        <v>938359525</v>
      </c>
      <c r="E41" s="1327">
        <v>4996118770</v>
      </c>
      <c r="F41" s="1327"/>
      <c r="G41" s="1327">
        <v>4350836682</v>
      </c>
      <c r="H41" s="1319">
        <f t="shared" si="0"/>
        <v>10285314977</v>
      </c>
      <c r="I41" s="1319">
        <v>1624986457</v>
      </c>
      <c r="J41" s="1319">
        <v>2725150225</v>
      </c>
      <c r="K41" s="1319">
        <v>5868189143</v>
      </c>
      <c r="L41" s="1319">
        <f t="shared" si="1"/>
        <v>10218325825</v>
      </c>
      <c r="M41" s="1366"/>
      <c r="N41" s="1370"/>
    </row>
    <row r="42" spans="2:15">
      <c r="B42" s="1316">
        <v>26</v>
      </c>
      <c r="C42" s="1326" t="s">
        <v>184</v>
      </c>
      <c r="D42" s="1327">
        <v>1697489975</v>
      </c>
      <c r="E42" s="1327">
        <v>13351015101</v>
      </c>
      <c r="F42" s="1327">
        <v>264212500</v>
      </c>
      <c r="G42" s="1327">
        <v>15670403764</v>
      </c>
      <c r="H42" s="1319">
        <f t="shared" si="0"/>
        <v>30983121340</v>
      </c>
      <c r="I42" s="1319">
        <v>5927674364</v>
      </c>
      <c r="J42" s="1319">
        <v>9742729400</v>
      </c>
      <c r="K42" s="1319">
        <v>15306346171</v>
      </c>
      <c r="L42" s="1319">
        <f t="shared" si="1"/>
        <v>30976749935</v>
      </c>
      <c r="M42" s="1366"/>
      <c r="N42" s="1370"/>
    </row>
    <row r="43" spans="2:15">
      <c r="B43" s="1316">
        <v>27</v>
      </c>
      <c r="C43" s="1326" t="s">
        <v>185</v>
      </c>
      <c r="D43" s="1327">
        <v>428194745</v>
      </c>
      <c r="E43" s="1327">
        <v>2981750157</v>
      </c>
      <c r="F43" s="1327">
        <v>0</v>
      </c>
      <c r="G43" s="1327">
        <v>5692896306</v>
      </c>
      <c r="H43" s="1319">
        <f t="shared" si="0"/>
        <v>9102841208</v>
      </c>
      <c r="I43" s="1319">
        <v>2277373578</v>
      </c>
      <c r="J43" s="1319">
        <v>3415522728</v>
      </c>
      <c r="K43" s="1319">
        <v>3225508112</v>
      </c>
      <c r="L43" s="1319">
        <f t="shared" si="1"/>
        <v>8918404418</v>
      </c>
      <c r="M43" s="1366"/>
      <c r="N43" s="1370"/>
    </row>
    <row r="44" spans="2:15">
      <c r="B44" s="1316">
        <v>28</v>
      </c>
      <c r="C44" s="1326" t="s">
        <v>186</v>
      </c>
      <c r="D44" s="1327">
        <v>591855639</v>
      </c>
      <c r="E44" s="1327">
        <v>5287290330</v>
      </c>
      <c r="F44" s="1327">
        <v>0</v>
      </c>
      <c r="G44" s="1327">
        <v>5992949298</v>
      </c>
      <c r="H44" s="1319">
        <f t="shared" si="0"/>
        <v>11872095267</v>
      </c>
      <c r="I44" s="1319">
        <v>2865756298</v>
      </c>
      <c r="J44" s="1319">
        <v>3127193000</v>
      </c>
      <c r="K44" s="1319">
        <v>5849646953</v>
      </c>
      <c r="L44" s="1319">
        <f t="shared" si="1"/>
        <v>11842596251</v>
      </c>
      <c r="M44" s="1366"/>
      <c r="N44" s="1370"/>
    </row>
    <row r="45" spans="2:15">
      <c r="B45" s="1316">
        <v>29</v>
      </c>
      <c r="C45" s="1326" t="s">
        <v>187</v>
      </c>
      <c r="D45" s="1327">
        <v>389943490</v>
      </c>
      <c r="E45" s="1327">
        <v>3078535613</v>
      </c>
      <c r="F45" s="1327">
        <v>0</v>
      </c>
      <c r="G45" s="1327">
        <v>7137412619</v>
      </c>
      <c r="H45" s="1319">
        <f t="shared" si="0"/>
        <v>10605891722</v>
      </c>
      <c r="I45" s="1319">
        <v>3520261419</v>
      </c>
      <c r="J45" s="1319">
        <v>3617151200</v>
      </c>
      <c r="K45" s="1319">
        <v>3374428371</v>
      </c>
      <c r="L45" s="1319">
        <f t="shared" si="1"/>
        <v>10511840990</v>
      </c>
      <c r="M45" s="1366"/>
      <c r="N45" s="1370"/>
    </row>
    <row r="46" spans="2:15">
      <c r="B46" s="1336">
        <v>30</v>
      </c>
      <c r="C46" s="1326" t="s">
        <v>188</v>
      </c>
      <c r="D46" s="1327">
        <v>703281179</v>
      </c>
      <c r="E46" s="1327">
        <v>6987676080</v>
      </c>
      <c r="F46" s="1327">
        <v>0</v>
      </c>
      <c r="G46" s="1327">
        <v>8321263036</v>
      </c>
      <c r="H46" s="1319">
        <f t="shared" si="0"/>
        <v>16012220295</v>
      </c>
      <c r="I46" s="1319">
        <v>2807817416</v>
      </c>
      <c r="J46" s="1319">
        <v>5511436100</v>
      </c>
      <c r="K46" s="1319">
        <v>7536741161</v>
      </c>
      <c r="L46" s="1319">
        <f t="shared" si="1"/>
        <v>15855994677</v>
      </c>
      <c r="M46" s="1366"/>
      <c r="N46" s="1370"/>
    </row>
    <row r="47" spans="2:15">
      <c r="B47" s="1336">
        <v>31</v>
      </c>
      <c r="C47" s="1328" t="s">
        <v>189</v>
      </c>
      <c r="D47" s="1329">
        <v>1961597718</v>
      </c>
      <c r="E47" s="1329">
        <v>10629512214</v>
      </c>
      <c r="F47" s="1329">
        <v>310200000</v>
      </c>
      <c r="G47" s="1329">
        <v>26493070680</v>
      </c>
      <c r="H47" s="1319">
        <f t="shared" si="0"/>
        <v>39394380612</v>
      </c>
      <c r="I47" s="1319">
        <v>7789114420</v>
      </c>
      <c r="J47" s="1319">
        <v>18701106260</v>
      </c>
      <c r="K47" s="1319">
        <v>12075119947</v>
      </c>
      <c r="L47" s="1319">
        <f t="shared" si="1"/>
        <v>38565340627</v>
      </c>
      <c r="M47" s="1366"/>
      <c r="N47" s="1370"/>
    </row>
    <row r="48" spans="2:15">
      <c r="B48" s="1336">
        <v>32</v>
      </c>
      <c r="C48" s="1326" t="s">
        <v>190</v>
      </c>
      <c r="D48" s="1327">
        <v>978883058</v>
      </c>
      <c r="E48" s="1327">
        <v>6795365107</v>
      </c>
      <c r="F48" s="1327">
        <v>0</v>
      </c>
      <c r="G48" s="1327">
        <v>20782774495</v>
      </c>
      <c r="H48" s="1319">
        <f t="shared" si="0"/>
        <v>28557022660</v>
      </c>
      <c r="I48" s="1319">
        <v>10165226495</v>
      </c>
      <c r="J48" s="1319">
        <v>10612238000</v>
      </c>
      <c r="K48" s="1319">
        <v>7457372523</v>
      </c>
      <c r="L48" s="1319">
        <f t="shared" si="1"/>
        <v>28234837018</v>
      </c>
      <c r="M48" s="1366"/>
      <c r="N48" s="1370"/>
    </row>
    <row r="49" spans="2:14">
      <c r="B49" s="1336">
        <v>34</v>
      </c>
      <c r="C49" s="1326" t="s">
        <v>191</v>
      </c>
      <c r="D49" s="1327">
        <v>824218166</v>
      </c>
      <c r="E49" s="1327">
        <v>4638478732</v>
      </c>
      <c r="F49" s="1327">
        <v>0</v>
      </c>
      <c r="G49" s="1327">
        <v>19847890211.400002</v>
      </c>
      <c r="H49" s="1319">
        <f t="shared" si="0"/>
        <v>25310587109.400002</v>
      </c>
      <c r="I49" s="1319">
        <v>6622998453</v>
      </c>
      <c r="J49" s="1319">
        <v>13210932029.4</v>
      </c>
      <c r="K49" s="1319">
        <v>5252442726</v>
      </c>
      <c r="L49" s="1319">
        <f t="shared" si="1"/>
        <v>25086373208.400002</v>
      </c>
      <c r="M49" s="1366"/>
      <c r="N49" s="1370"/>
    </row>
    <row r="50" spans="2:14">
      <c r="B50" s="1336">
        <v>35</v>
      </c>
      <c r="C50" s="1326" t="s">
        <v>192</v>
      </c>
      <c r="D50" s="1327">
        <v>1519193999</v>
      </c>
      <c r="E50" s="1327">
        <v>6153854744</v>
      </c>
      <c r="F50" s="1327">
        <v>523343229</v>
      </c>
      <c r="G50" s="1327">
        <v>16723880609</v>
      </c>
      <c r="H50" s="1319">
        <f t="shared" si="0"/>
        <v>24920272581</v>
      </c>
      <c r="I50" s="1319">
        <v>5838478637</v>
      </c>
      <c r="J50" s="1319">
        <v>10885401972</v>
      </c>
      <c r="K50" s="1319">
        <v>8137357209</v>
      </c>
      <c r="L50" s="1319">
        <f t="shared" si="1"/>
        <v>24861237818</v>
      </c>
      <c r="M50" s="1366"/>
      <c r="N50" s="1370"/>
    </row>
    <row r="51" spans="2:14">
      <c r="B51" s="1337">
        <v>36</v>
      </c>
      <c r="C51" s="1326" t="s">
        <v>193</v>
      </c>
      <c r="D51" s="1327">
        <v>1377098332</v>
      </c>
      <c r="E51" s="1327">
        <v>8062455933</v>
      </c>
      <c r="F51" s="1327">
        <v>301527272</v>
      </c>
      <c r="G51" s="1327">
        <v>12216705004</v>
      </c>
      <c r="H51" s="1338">
        <f t="shared" si="0"/>
        <v>21957786541</v>
      </c>
      <c r="I51" s="1338">
        <v>5585199242</v>
      </c>
      <c r="J51" s="1338">
        <v>6619104500</v>
      </c>
      <c r="K51" s="1338">
        <v>9589621163</v>
      </c>
      <c r="L51" s="1338">
        <f t="shared" si="1"/>
        <v>21793924905</v>
      </c>
      <c r="M51" s="1366"/>
      <c r="N51" s="1375"/>
    </row>
    <row r="52" spans="2:14">
      <c r="B52" s="1339"/>
      <c r="C52" s="1340"/>
      <c r="D52" s="1341"/>
      <c r="E52" s="1341"/>
      <c r="F52" s="1341"/>
      <c r="G52" s="1341"/>
      <c r="H52" s="1342"/>
      <c r="I52" s="1342"/>
      <c r="J52" s="1342"/>
      <c r="K52" s="1342"/>
      <c r="L52" s="1342"/>
      <c r="M52" s="1366"/>
      <c r="N52" s="1375"/>
    </row>
    <row r="53" spans="2:14">
      <c r="B53" s="1343"/>
      <c r="C53" s="1344"/>
      <c r="D53" s="1345"/>
      <c r="E53" s="1345"/>
      <c r="F53" s="1345"/>
      <c r="G53" s="1345"/>
      <c r="H53" s="1346"/>
      <c r="I53" s="1346"/>
      <c r="J53" s="1346"/>
      <c r="K53" s="1346"/>
      <c r="L53" s="1346"/>
      <c r="M53" s="1366"/>
      <c r="N53" s="1376"/>
    </row>
    <row r="54" spans="2:14">
      <c r="B54" s="1972" t="s">
        <v>194</v>
      </c>
      <c r="C54" s="1973"/>
      <c r="D54" s="1347">
        <f t="shared" ref="D54:L54" si="2">SUM(D15:D52)</f>
        <v>69624034041</v>
      </c>
      <c r="E54" s="1347">
        <f t="shared" si="2"/>
        <v>440978550331.47998</v>
      </c>
      <c r="F54" s="1347">
        <f t="shared" si="2"/>
        <v>63089113399</v>
      </c>
      <c r="G54" s="1347">
        <f t="shared" si="2"/>
        <v>1805198631527.6599</v>
      </c>
      <c r="H54" s="1347">
        <f t="shared" si="2"/>
        <v>2378890329299.1401</v>
      </c>
      <c r="I54" s="1347">
        <f t="shared" si="2"/>
        <v>382141398506</v>
      </c>
      <c r="J54" s="1347">
        <f t="shared" si="2"/>
        <v>1434432629342.3201</v>
      </c>
      <c r="K54" s="1347">
        <f t="shared" si="2"/>
        <v>547775228463.47998</v>
      </c>
      <c r="L54" s="1347">
        <f t="shared" si="2"/>
        <v>2354402601614.1401</v>
      </c>
      <c r="M54" s="1377"/>
      <c r="N54" s="1376"/>
    </row>
    <row r="55" spans="2:14" s="1307" customFormat="1">
      <c r="B55" s="1348">
        <v>37</v>
      </c>
      <c r="C55" s="1349" t="s">
        <v>195</v>
      </c>
      <c r="D55" s="1350"/>
      <c r="E55" s="1350"/>
      <c r="F55" s="1350"/>
      <c r="G55" s="1350"/>
      <c r="H55" s="1351"/>
      <c r="I55" s="1378"/>
      <c r="J55" s="1378"/>
      <c r="K55" s="1378"/>
      <c r="L55" s="1378">
        <v>3670442495.6599998</v>
      </c>
      <c r="M55" s="1368"/>
      <c r="N55" s="1309"/>
    </row>
    <row r="56" spans="2:14" s="1307" customFormat="1">
      <c r="B56" s="1352">
        <v>38</v>
      </c>
      <c r="C56" s="1353" t="s">
        <v>196</v>
      </c>
      <c r="D56" s="1354"/>
      <c r="E56" s="1354"/>
      <c r="F56" s="1354"/>
      <c r="G56" s="1354"/>
      <c r="H56" s="1342"/>
      <c r="I56" s="1379"/>
      <c r="J56" s="1379"/>
      <c r="K56" s="1379"/>
      <c r="L56" s="1379">
        <v>6272519477</v>
      </c>
      <c r="M56" s="1368"/>
      <c r="N56" s="1309"/>
    </row>
    <row r="57" spans="2:14">
      <c r="B57" s="1355"/>
      <c r="C57" s="1356"/>
      <c r="D57" s="1357"/>
      <c r="E57" s="1357"/>
      <c r="F57" s="1357"/>
      <c r="G57" s="1357"/>
      <c r="H57" s="1358"/>
      <c r="I57" s="1380"/>
      <c r="J57" s="1380"/>
      <c r="K57" s="1380"/>
      <c r="L57" s="1381"/>
      <c r="M57" s="1368"/>
    </row>
    <row r="58" spans="2:14" s="1308" customFormat="1">
      <c r="B58" s="1359"/>
      <c r="C58" s="1360" t="s">
        <v>197</v>
      </c>
      <c r="D58" s="1359"/>
      <c r="E58" s="1359"/>
      <c r="F58" s="1359"/>
      <c r="G58" s="1359"/>
      <c r="H58" s="1359"/>
      <c r="I58" s="1382"/>
      <c r="J58" s="1382"/>
      <c r="K58" s="1382"/>
      <c r="L58" s="1382">
        <f>SUM(L54:L57)</f>
        <v>2364345563586.7998</v>
      </c>
      <c r="M58" s="1383"/>
      <c r="N58" s="1384"/>
    </row>
    <row r="59" spans="2:14">
      <c r="B59" s="1361"/>
      <c r="C59" s="1307"/>
      <c r="D59" s="1307"/>
      <c r="E59" s="1307"/>
      <c r="F59" s="1307"/>
      <c r="G59" s="1307"/>
      <c r="H59" s="1362"/>
      <c r="I59" s="1385"/>
      <c r="J59" s="1385"/>
      <c r="K59" s="1385"/>
      <c r="L59" s="1385"/>
    </row>
    <row r="60" spans="2:14">
      <c r="H60" s="1362"/>
      <c r="I60" s="1362"/>
      <c r="J60" s="1309"/>
      <c r="K60" s="1309"/>
      <c r="L60" s="1309"/>
    </row>
    <row r="61" spans="2:14">
      <c r="H61" s="1362"/>
      <c r="I61" s="1362"/>
      <c r="J61" s="1309"/>
      <c r="K61" s="1309"/>
      <c r="L61" s="1309"/>
    </row>
    <row r="62" spans="2:14">
      <c r="H62" s="1362"/>
      <c r="I62" s="1362"/>
      <c r="J62" s="1309"/>
      <c r="K62" s="1309"/>
      <c r="L62" s="1309"/>
    </row>
    <row r="63" spans="2:14">
      <c r="H63" s="1362"/>
      <c r="I63" s="1362"/>
      <c r="J63" s="1309"/>
      <c r="K63" s="1309"/>
      <c r="L63" s="1309"/>
    </row>
    <row r="64" spans="2:14">
      <c r="H64" s="1362"/>
      <c r="I64" s="1362"/>
      <c r="J64" s="1309"/>
      <c r="K64" s="1309"/>
      <c r="L64" s="1309"/>
    </row>
    <row r="65" spans="1:23">
      <c r="H65" s="1362"/>
      <c r="I65" s="1362"/>
      <c r="J65" s="1309"/>
      <c r="K65" s="1309"/>
      <c r="L65" s="1309"/>
    </row>
    <row r="66" spans="1:23">
      <c r="H66" s="1362"/>
      <c r="I66" s="1362"/>
      <c r="J66" s="1309"/>
      <c r="K66" s="1309"/>
      <c r="L66" s="1309"/>
    </row>
    <row r="67" spans="1:23">
      <c r="H67" s="1362"/>
      <c r="I67" s="1362"/>
      <c r="J67" s="1309"/>
      <c r="K67" s="1309"/>
      <c r="L67" s="1309"/>
    </row>
    <row r="68" spans="1:23" s="1309" customFormat="1">
      <c r="A68" s="1310"/>
      <c r="B68" s="1310"/>
      <c r="C68" s="1310"/>
      <c r="D68" s="1310"/>
      <c r="E68" s="1310"/>
      <c r="F68" s="1310"/>
      <c r="G68" s="1310"/>
      <c r="H68" s="1310"/>
      <c r="I68" s="1310"/>
      <c r="O68" s="1310"/>
      <c r="P68" s="1310"/>
      <c r="Q68" s="1310"/>
      <c r="R68" s="1310"/>
      <c r="S68" s="1310"/>
      <c r="T68" s="1310"/>
      <c r="U68" s="1310"/>
      <c r="V68" s="1310"/>
      <c r="W68" s="1310"/>
    </row>
    <row r="69" spans="1:23" s="1309" customFormat="1">
      <c r="A69" s="1310"/>
      <c r="B69" s="1310"/>
      <c r="C69" s="1310"/>
      <c r="D69" s="1310"/>
      <c r="E69" s="1310"/>
      <c r="F69" s="1310"/>
      <c r="G69" s="1310"/>
      <c r="H69" s="1310"/>
      <c r="I69" s="1310"/>
      <c r="O69" s="1310"/>
      <c r="P69" s="1310"/>
      <c r="Q69" s="1310"/>
      <c r="R69" s="1310"/>
      <c r="S69" s="1310"/>
      <c r="T69" s="1310"/>
      <c r="U69" s="1310"/>
      <c r="V69" s="1310"/>
      <c r="W69" s="1310"/>
    </row>
    <row r="70" spans="1:23" s="1309" customFormat="1">
      <c r="A70" s="1310"/>
      <c r="B70" s="1310"/>
      <c r="C70" s="1310"/>
      <c r="D70" s="1310"/>
      <c r="E70" s="1310"/>
      <c r="F70" s="1310"/>
      <c r="G70" s="1310"/>
      <c r="H70" s="1310"/>
      <c r="I70" s="1310"/>
      <c r="O70" s="1310"/>
      <c r="P70" s="1310"/>
      <c r="Q70" s="1310"/>
      <c r="R70" s="1310"/>
      <c r="S70" s="1310"/>
      <c r="T70" s="1310"/>
      <c r="U70" s="1310"/>
      <c r="V70" s="1310"/>
      <c r="W70" s="1310"/>
    </row>
    <row r="71" spans="1:23" s="1309" customFormat="1">
      <c r="A71" s="1310"/>
      <c r="B71" s="1310"/>
      <c r="C71" s="1310"/>
      <c r="D71" s="1310"/>
      <c r="E71" s="1310"/>
      <c r="F71" s="1310"/>
      <c r="G71" s="1310"/>
      <c r="H71" s="1310"/>
      <c r="I71" s="1310"/>
      <c r="O71" s="1310"/>
      <c r="P71" s="1310"/>
      <c r="Q71" s="1310"/>
      <c r="R71" s="1310"/>
      <c r="S71" s="1310"/>
      <c r="T71" s="1310"/>
      <c r="U71" s="1310"/>
      <c r="V71" s="1310"/>
      <c r="W71" s="1310"/>
    </row>
    <row r="72" spans="1:23" s="1309" customFormat="1">
      <c r="A72" s="1310"/>
      <c r="B72" s="1310"/>
      <c r="C72" s="1310"/>
      <c r="D72" s="1310"/>
      <c r="E72" s="1310"/>
      <c r="F72" s="1310"/>
      <c r="G72" s="1310"/>
      <c r="H72" s="1310"/>
      <c r="I72" s="1310"/>
      <c r="O72" s="1310"/>
      <c r="P72" s="1310"/>
      <c r="Q72" s="1310"/>
      <c r="R72" s="1310"/>
      <c r="S72" s="1310"/>
      <c r="T72" s="1310"/>
      <c r="U72" s="1310"/>
      <c r="V72" s="1310"/>
      <c r="W72" s="1310"/>
    </row>
    <row r="73" spans="1:23" s="1309" customFormat="1">
      <c r="A73" s="1310"/>
      <c r="B73" s="1310"/>
      <c r="C73" s="1310"/>
      <c r="D73" s="1310"/>
      <c r="E73" s="1310"/>
      <c r="F73" s="1310"/>
      <c r="G73" s="1310"/>
      <c r="H73" s="1310"/>
      <c r="I73" s="1310"/>
      <c r="O73" s="1310"/>
      <c r="P73" s="1310"/>
      <c r="Q73" s="1310"/>
      <c r="R73" s="1310"/>
      <c r="S73" s="1310"/>
      <c r="T73" s="1310"/>
      <c r="U73" s="1310"/>
      <c r="V73" s="1310"/>
      <c r="W73" s="1310"/>
    </row>
    <row r="74" spans="1:23" s="1309" customFormat="1">
      <c r="A74" s="1310"/>
      <c r="B74" s="1310"/>
      <c r="C74" s="1310"/>
      <c r="D74" s="1310"/>
      <c r="E74" s="1310"/>
      <c r="F74" s="1310"/>
      <c r="G74" s="1310"/>
      <c r="H74" s="1310"/>
      <c r="I74" s="1310"/>
      <c r="O74" s="1310"/>
      <c r="P74" s="1310"/>
      <c r="Q74" s="1310"/>
      <c r="R74" s="1310"/>
      <c r="S74" s="1310"/>
      <c r="T74" s="1310"/>
      <c r="U74" s="1310"/>
      <c r="V74" s="1310"/>
      <c r="W74" s="1310"/>
    </row>
    <row r="75" spans="1:23" s="1309" customFormat="1">
      <c r="A75" s="1310"/>
      <c r="B75" s="1310"/>
      <c r="C75" s="1310"/>
      <c r="D75" s="1310"/>
      <c r="E75" s="1310"/>
      <c r="F75" s="1310"/>
      <c r="G75" s="1310"/>
      <c r="H75" s="1310"/>
      <c r="I75" s="1310"/>
      <c r="O75" s="1310"/>
      <c r="P75" s="1310"/>
      <c r="Q75" s="1310"/>
      <c r="R75" s="1310"/>
      <c r="S75" s="1310"/>
      <c r="T75" s="1310"/>
      <c r="U75" s="1310"/>
      <c r="V75" s="1310"/>
      <c r="W75" s="1310"/>
    </row>
    <row r="76" spans="1:23" s="1309" customFormat="1">
      <c r="A76" s="1310"/>
      <c r="B76" s="1310"/>
      <c r="C76" s="1310"/>
      <c r="D76" s="1310"/>
      <c r="E76" s="1310"/>
      <c r="F76" s="1310"/>
      <c r="G76" s="1310"/>
      <c r="H76" s="1310"/>
      <c r="I76" s="1310"/>
      <c r="O76" s="1310"/>
      <c r="P76" s="1310"/>
      <c r="Q76" s="1310"/>
      <c r="R76" s="1310"/>
      <c r="S76" s="1310"/>
      <c r="T76" s="1310"/>
      <c r="U76" s="1310"/>
      <c r="V76" s="1310"/>
      <c r="W76" s="1310"/>
    </row>
    <row r="77" spans="1:23" s="1309" customFormat="1">
      <c r="A77" s="1310"/>
      <c r="B77" s="1310"/>
      <c r="C77" s="1310"/>
      <c r="D77" s="1310"/>
      <c r="E77" s="1310"/>
      <c r="F77" s="1310"/>
      <c r="G77" s="1310"/>
      <c r="H77" s="1310"/>
      <c r="I77" s="1310"/>
      <c r="K77" s="1363"/>
      <c r="L77" s="1363"/>
      <c r="O77" s="1310"/>
      <c r="P77" s="1310"/>
      <c r="Q77" s="1310"/>
      <c r="R77" s="1310"/>
      <c r="S77" s="1310"/>
      <c r="T77" s="1310"/>
      <c r="U77" s="1310"/>
      <c r="V77" s="1310"/>
      <c r="W77" s="1310"/>
    </row>
    <row r="78" spans="1:23" s="1309" customFormat="1">
      <c r="A78" s="1310"/>
      <c r="B78" s="1310"/>
      <c r="C78" s="1310"/>
      <c r="D78" s="1310"/>
      <c r="E78" s="1310"/>
      <c r="F78" s="1310"/>
      <c r="G78" s="1310"/>
      <c r="H78" s="1310"/>
      <c r="I78" s="1310"/>
      <c r="O78" s="1310"/>
      <c r="P78" s="1310"/>
      <c r="Q78" s="1310"/>
      <c r="R78" s="1310"/>
      <c r="S78" s="1310"/>
      <c r="T78" s="1310"/>
      <c r="U78" s="1310"/>
      <c r="V78" s="1310"/>
      <c r="W78" s="1310"/>
    </row>
    <row r="79" spans="1:23" s="1309" customFormat="1">
      <c r="A79" s="1310"/>
      <c r="B79" s="1310"/>
      <c r="C79" s="1310"/>
      <c r="D79" s="1310"/>
      <c r="E79" s="1310"/>
      <c r="F79" s="1310"/>
      <c r="G79" s="1310"/>
      <c r="H79" s="1310"/>
      <c r="I79" s="1310"/>
      <c r="O79" s="1310"/>
      <c r="P79" s="1310"/>
      <c r="Q79" s="1310"/>
      <c r="R79" s="1310"/>
      <c r="S79" s="1310"/>
      <c r="T79" s="1310"/>
      <c r="U79" s="1310"/>
      <c r="V79" s="1310"/>
      <c r="W79" s="1310"/>
    </row>
    <row r="80" spans="1:23" s="1309" customFormat="1">
      <c r="A80" s="1310"/>
      <c r="B80" s="1310"/>
      <c r="C80" s="1310"/>
      <c r="D80" s="1310"/>
      <c r="E80" s="1310"/>
      <c r="F80" s="1310"/>
      <c r="G80" s="1310"/>
      <c r="H80" s="1310"/>
      <c r="I80" s="1310"/>
      <c r="O80" s="1310"/>
      <c r="P80" s="1310"/>
      <c r="Q80" s="1310"/>
      <c r="R80" s="1310"/>
      <c r="S80" s="1310"/>
      <c r="T80" s="1310"/>
      <c r="U80" s="1310"/>
      <c r="V80" s="1310"/>
      <c r="W80" s="1310"/>
    </row>
    <row r="81" spans="1:23" s="1309" customFormat="1">
      <c r="A81" s="1310"/>
      <c r="B81" s="1310"/>
      <c r="C81" s="1310"/>
      <c r="D81" s="1310"/>
      <c r="E81" s="1310"/>
      <c r="F81" s="1310"/>
      <c r="G81" s="1310"/>
      <c r="H81" s="1310"/>
      <c r="I81" s="1310"/>
      <c r="K81" s="1363"/>
      <c r="L81" s="1363"/>
      <c r="O81" s="1310"/>
      <c r="P81" s="1310"/>
      <c r="Q81" s="1310"/>
      <c r="R81" s="1310"/>
      <c r="S81" s="1310"/>
      <c r="T81" s="1310"/>
      <c r="U81" s="1310"/>
      <c r="V81" s="1310"/>
      <c r="W81" s="1310"/>
    </row>
    <row r="82" spans="1:23" s="1309" customFormat="1">
      <c r="A82" s="1310"/>
      <c r="B82" s="1310"/>
      <c r="C82" s="1310"/>
      <c r="D82" s="1310"/>
      <c r="E82" s="1310"/>
      <c r="F82" s="1310"/>
      <c r="G82" s="1310"/>
      <c r="H82" s="1310"/>
      <c r="I82" s="1310"/>
      <c r="O82" s="1310"/>
      <c r="P82" s="1310"/>
      <c r="Q82" s="1310"/>
      <c r="R82" s="1310"/>
      <c r="S82" s="1310"/>
      <c r="T82" s="1310"/>
      <c r="U82" s="1310"/>
      <c r="V82" s="1310"/>
      <c r="W82" s="1310"/>
    </row>
    <row r="83" spans="1:23" s="1309" customFormat="1">
      <c r="A83" s="1310"/>
      <c r="B83" s="1310"/>
      <c r="C83" s="1310"/>
      <c r="D83" s="1310"/>
      <c r="E83" s="1310"/>
      <c r="F83" s="1310"/>
      <c r="G83" s="1310"/>
      <c r="H83" s="1310"/>
      <c r="I83" s="1310"/>
      <c r="O83" s="1310"/>
      <c r="P83" s="1310"/>
      <c r="Q83" s="1310"/>
      <c r="R83" s="1310"/>
      <c r="S83" s="1310"/>
      <c r="T83" s="1310"/>
      <c r="U83" s="1310"/>
      <c r="V83" s="1310"/>
      <c r="W83" s="1310"/>
    </row>
    <row r="84" spans="1:23" s="1309" customFormat="1">
      <c r="A84" s="1310"/>
      <c r="B84" s="1310"/>
      <c r="C84" s="1310"/>
      <c r="D84" s="1310"/>
      <c r="E84" s="1310"/>
      <c r="F84" s="1310"/>
      <c r="G84" s="1310"/>
      <c r="H84" s="1310"/>
      <c r="I84" s="1310"/>
      <c r="O84" s="1310"/>
      <c r="P84" s="1310"/>
      <c r="Q84" s="1310"/>
      <c r="R84" s="1310"/>
      <c r="S84" s="1310"/>
      <c r="T84" s="1310"/>
      <c r="U84" s="1310"/>
      <c r="V84" s="1310"/>
      <c r="W84" s="1310"/>
    </row>
    <row r="85" spans="1:23" s="1309" customFormat="1">
      <c r="A85" s="1310"/>
      <c r="B85" s="1310"/>
      <c r="C85" s="1310"/>
      <c r="D85" s="1310"/>
      <c r="E85" s="1310"/>
      <c r="F85" s="1310"/>
      <c r="G85" s="1310"/>
      <c r="H85" s="1310"/>
      <c r="I85" s="1310"/>
      <c r="O85" s="1310"/>
      <c r="P85" s="1310"/>
      <c r="Q85" s="1310"/>
      <c r="R85" s="1310"/>
      <c r="S85" s="1310"/>
      <c r="T85" s="1310"/>
      <c r="U85" s="1310"/>
      <c r="V85" s="1310"/>
      <c r="W85" s="1310"/>
    </row>
    <row r="86" spans="1:23" s="1309" customFormat="1">
      <c r="A86" s="1310"/>
      <c r="B86" s="1310"/>
      <c r="C86" s="1310"/>
      <c r="D86" s="1310"/>
      <c r="E86" s="1310"/>
      <c r="F86" s="1310"/>
      <c r="G86" s="1310"/>
      <c r="H86" s="1310"/>
      <c r="I86" s="1310"/>
      <c r="O86" s="1310"/>
      <c r="P86" s="1310"/>
      <c r="Q86" s="1310"/>
      <c r="R86" s="1310"/>
      <c r="S86" s="1310"/>
      <c r="T86" s="1310"/>
      <c r="U86" s="1310"/>
      <c r="V86" s="1310"/>
      <c r="W86" s="1310"/>
    </row>
    <row r="87" spans="1:23" s="1309" customFormat="1">
      <c r="A87" s="1310"/>
      <c r="B87" s="1310"/>
      <c r="C87" s="1310"/>
      <c r="D87" s="1310"/>
      <c r="E87" s="1310"/>
      <c r="F87" s="1310"/>
      <c r="G87" s="1310"/>
      <c r="H87" s="1310"/>
      <c r="I87" s="1310"/>
      <c r="O87" s="1310"/>
      <c r="P87" s="1310"/>
      <c r="Q87" s="1310"/>
      <c r="R87" s="1310"/>
      <c r="S87" s="1310"/>
      <c r="T87" s="1310"/>
      <c r="U87" s="1310"/>
      <c r="V87" s="1310"/>
      <c r="W87" s="1310"/>
    </row>
    <row r="88" spans="1:23" s="1309" customFormat="1">
      <c r="A88" s="1310"/>
      <c r="B88" s="1310"/>
      <c r="C88" s="1310"/>
      <c r="D88" s="1310"/>
      <c r="E88" s="1310"/>
      <c r="F88" s="1310"/>
      <c r="G88" s="1310"/>
      <c r="H88" s="1310"/>
      <c r="I88" s="1310"/>
      <c r="O88" s="1310"/>
      <c r="P88" s="1310"/>
      <c r="Q88" s="1310"/>
      <c r="R88" s="1310"/>
      <c r="S88" s="1310"/>
      <c r="T88" s="1310"/>
      <c r="U88" s="1310"/>
      <c r="V88" s="1310"/>
      <c r="W88" s="1310"/>
    </row>
    <row r="89" spans="1:23" s="1309" customFormat="1">
      <c r="A89" s="1310"/>
      <c r="B89" s="1310"/>
      <c r="C89" s="1310"/>
      <c r="D89" s="1310"/>
      <c r="E89" s="1310"/>
      <c r="F89" s="1310"/>
      <c r="G89" s="1310"/>
      <c r="H89" s="1310"/>
      <c r="I89" s="1310"/>
      <c r="O89" s="1310"/>
      <c r="P89" s="1310"/>
      <c r="Q89" s="1310"/>
      <c r="R89" s="1310"/>
      <c r="S89" s="1310"/>
      <c r="T89" s="1310"/>
      <c r="U89" s="1310"/>
      <c r="V89" s="1310"/>
      <c r="W89" s="1310"/>
    </row>
    <row r="90" spans="1:23" s="1309" customFormat="1">
      <c r="A90" s="1310"/>
      <c r="B90" s="1310"/>
      <c r="C90" s="1310"/>
      <c r="D90" s="1310"/>
      <c r="E90" s="1310"/>
      <c r="F90" s="1310"/>
      <c r="G90" s="1310"/>
      <c r="H90" s="1310"/>
      <c r="I90" s="1310"/>
      <c r="O90" s="1310"/>
      <c r="P90" s="1310"/>
      <c r="Q90" s="1310"/>
      <c r="R90" s="1310"/>
      <c r="S90" s="1310"/>
      <c r="T90" s="1310"/>
      <c r="U90" s="1310"/>
      <c r="V90" s="1310"/>
      <c r="W90" s="1310"/>
    </row>
    <row r="91" spans="1:23" s="1309" customFormat="1">
      <c r="A91" s="1310"/>
      <c r="B91" s="1310"/>
      <c r="C91" s="1310"/>
      <c r="D91" s="1310"/>
      <c r="E91" s="1310"/>
      <c r="F91" s="1310"/>
      <c r="G91" s="1310"/>
      <c r="H91" s="1310"/>
      <c r="I91" s="1310"/>
      <c r="O91" s="1310"/>
      <c r="P91" s="1310"/>
      <c r="Q91" s="1310"/>
      <c r="R91" s="1310"/>
      <c r="S91" s="1310"/>
      <c r="T91" s="1310"/>
      <c r="U91" s="1310"/>
      <c r="V91" s="1310"/>
      <c r="W91" s="1310"/>
    </row>
    <row r="92" spans="1:23" s="1309" customFormat="1">
      <c r="A92" s="1310"/>
      <c r="B92" s="1310"/>
      <c r="C92" s="1310"/>
      <c r="D92" s="1310"/>
      <c r="E92" s="1310"/>
      <c r="F92" s="1310"/>
      <c r="G92" s="1310"/>
      <c r="H92" s="1310"/>
      <c r="I92" s="1310"/>
      <c r="O92" s="1310"/>
      <c r="P92" s="1310"/>
      <c r="Q92" s="1310"/>
      <c r="R92" s="1310"/>
      <c r="S92" s="1310"/>
      <c r="T92" s="1310"/>
      <c r="U92" s="1310"/>
      <c r="V92" s="1310"/>
      <c r="W92" s="1310"/>
    </row>
  </sheetData>
  <mergeCells count="12">
    <mergeCell ref="B7:L7"/>
    <mergeCell ref="B8:L8"/>
    <mergeCell ref="I11:K11"/>
    <mergeCell ref="B54:C54"/>
    <mergeCell ref="B11:B12"/>
    <mergeCell ref="C11:C12"/>
    <mergeCell ref="D11:D12"/>
    <mergeCell ref="E11:E12"/>
    <mergeCell ref="F11:F12"/>
    <mergeCell ref="G11:G12"/>
    <mergeCell ref="H11:H12"/>
    <mergeCell ref="L11:L12"/>
  </mergeCells>
  <pageMargins left="2.4" right="0.15972222222222199" top="0.469444444444444" bottom="0.23611111111111099" header="0.156944444444444" footer="0.156944444444444"/>
  <pageSetup paperSize="5" scale="55" orientation="landscape" r:id="rId1"/>
  <headerFooter alignWithMargins="0">
    <oddFooter>&amp;R&amp;T&amp;D&amp;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00B0F0"/>
    <pageSetUpPr autoPageBreaks="0"/>
  </sheetPr>
  <dimension ref="B1:G394"/>
  <sheetViews>
    <sheetView showOutlineSymbols="0" workbookViewId="0">
      <selection activeCell="E10" sqref="E10"/>
    </sheetView>
  </sheetViews>
  <sheetFormatPr defaultColWidth="8" defaultRowHeight="11.25"/>
  <cols>
    <col min="1" max="1" width="5.7109375" style="1282" customWidth="1"/>
    <col min="2" max="2" width="9" style="1282" customWidth="1"/>
    <col min="3" max="3" width="23" style="1283" customWidth="1"/>
    <col min="4" max="4" width="20.7109375" style="1283" customWidth="1"/>
    <col min="5" max="5" width="49" style="1283" customWidth="1"/>
    <col min="6" max="6" width="15.7109375" style="1282" customWidth="1"/>
    <col min="7" max="7" width="13.42578125" style="1282" customWidth="1"/>
    <col min="8" max="8" width="23.28515625" style="1282" customWidth="1"/>
    <col min="9" max="244" width="6.85546875" style="1282" customWidth="1"/>
    <col min="245" max="245" width="8" style="1282"/>
    <col min="246" max="246" width="1.140625" style="1282" customWidth="1"/>
    <col min="247" max="247" width="8" style="1282"/>
    <col min="248" max="248" width="1.140625" style="1282" customWidth="1"/>
    <col min="249" max="249" width="1.7109375" style="1282" customWidth="1"/>
    <col min="250" max="250" width="7.42578125" style="1282" customWidth="1"/>
    <col min="251" max="251" width="1.7109375" style="1282" customWidth="1"/>
    <col min="252" max="252" width="5.7109375" style="1282" customWidth="1"/>
    <col min="253" max="253" width="1.140625" style="1282" customWidth="1"/>
    <col min="254" max="254" width="5.140625" style="1282" customWidth="1"/>
    <col min="255" max="255" width="1.140625" style="1282" customWidth="1"/>
    <col min="256" max="256" width="9.7109375" style="1282" customWidth="1"/>
    <col min="257" max="258" width="1.140625" style="1282" customWidth="1"/>
    <col min="259" max="259" width="14.85546875" style="1282" customWidth="1"/>
    <col min="260" max="260" width="2.28515625" style="1282" customWidth="1"/>
    <col min="261" max="261" width="16.5703125" style="1282" customWidth="1"/>
    <col min="262" max="262" width="16" style="1282" customWidth="1"/>
    <col min="263" max="263" width="1.140625" style="1282" customWidth="1"/>
    <col min="264" max="500" width="6.85546875" style="1282" customWidth="1"/>
    <col min="501" max="501" width="8" style="1282"/>
    <col min="502" max="502" width="1.140625" style="1282" customWidth="1"/>
    <col min="503" max="503" width="8" style="1282"/>
    <col min="504" max="504" width="1.140625" style="1282" customWidth="1"/>
    <col min="505" max="505" width="1.7109375" style="1282" customWidth="1"/>
    <col min="506" max="506" width="7.42578125" style="1282" customWidth="1"/>
    <col min="507" max="507" width="1.7109375" style="1282" customWidth="1"/>
    <col min="508" max="508" width="5.7109375" style="1282" customWidth="1"/>
    <col min="509" max="509" width="1.140625" style="1282" customWidth="1"/>
    <col min="510" max="510" width="5.140625" style="1282" customWidth="1"/>
    <col min="511" max="511" width="1.140625" style="1282" customWidth="1"/>
    <col min="512" max="512" width="9.7109375" style="1282" customWidth="1"/>
    <col min="513" max="514" width="1.140625" style="1282" customWidth="1"/>
    <col min="515" max="515" width="14.85546875" style="1282" customWidth="1"/>
    <col min="516" max="516" width="2.28515625" style="1282" customWidth="1"/>
    <col min="517" max="517" width="16.5703125" style="1282" customWidth="1"/>
    <col min="518" max="518" width="16" style="1282" customWidth="1"/>
    <col min="519" max="519" width="1.140625" style="1282" customWidth="1"/>
    <col min="520" max="756" width="6.85546875" style="1282" customWidth="1"/>
    <col min="757" max="757" width="8" style="1282"/>
    <col min="758" max="758" width="1.140625" style="1282" customWidth="1"/>
    <col min="759" max="759" width="8" style="1282"/>
    <col min="760" max="760" width="1.140625" style="1282" customWidth="1"/>
    <col min="761" max="761" width="1.7109375" style="1282" customWidth="1"/>
    <col min="762" max="762" width="7.42578125" style="1282" customWidth="1"/>
    <col min="763" max="763" width="1.7109375" style="1282" customWidth="1"/>
    <col min="764" max="764" width="5.7109375" style="1282" customWidth="1"/>
    <col min="765" max="765" width="1.140625" style="1282" customWidth="1"/>
    <col min="766" max="766" width="5.140625" style="1282" customWidth="1"/>
    <col min="767" max="767" width="1.140625" style="1282" customWidth="1"/>
    <col min="768" max="768" width="9.7109375" style="1282" customWidth="1"/>
    <col min="769" max="770" width="1.140625" style="1282" customWidth="1"/>
    <col min="771" max="771" width="14.85546875" style="1282" customWidth="1"/>
    <col min="772" max="772" width="2.28515625" style="1282" customWidth="1"/>
    <col min="773" max="773" width="16.5703125" style="1282" customWidth="1"/>
    <col min="774" max="774" width="16" style="1282" customWidth="1"/>
    <col min="775" max="775" width="1.140625" style="1282" customWidth="1"/>
    <col min="776" max="1012" width="6.85546875" style="1282" customWidth="1"/>
    <col min="1013" max="1013" width="8" style="1282"/>
    <col min="1014" max="1014" width="1.140625" style="1282" customWidth="1"/>
    <col min="1015" max="1015" width="8" style="1282"/>
    <col min="1016" max="1016" width="1.140625" style="1282" customWidth="1"/>
    <col min="1017" max="1017" width="1.7109375" style="1282" customWidth="1"/>
    <col min="1018" max="1018" width="7.42578125" style="1282" customWidth="1"/>
    <col min="1019" max="1019" width="1.7109375" style="1282" customWidth="1"/>
    <col min="1020" max="1020" width="5.7109375" style="1282" customWidth="1"/>
    <col min="1021" max="1021" width="1.140625" style="1282" customWidth="1"/>
    <col min="1022" max="1022" width="5.140625" style="1282" customWidth="1"/>
    <col min="1023" max="1023" width="1.140625" style="1282" customWidth="1"/>
    <col min="1024" max="1024" width="9.7109375" style="1282" customWidth="1"/>
    <col min="1025" max="1026" width="1.140625" style="1282" customWidth="1"/>
    <col min="1027" max="1027" width="14.85546875" style="1282" customWidth="1"/>
    <col min="1028" max="1028" width="2.28515625" style="1282" customWidth="1"/>
    <col min="1029" max="1029" width="16.5703125" style="1282" customWidth="1"/>
    <col min="1030" max="1030" width="16" style="1282" customWidth="1"/>
    <col min="1031" max="1031" width="1.140625" style="1282" customWidth="1"/>
    <col min="1032" max="1268" width="6.85546875" style="1282" customWidth="1"/>
    <col min="1269" max="1269" width="8" style="1282"/>
    <col min="1270" max="1270" width="1.140625" style="1282" customWidth="1"/>
    <col min="1271" max="1271" width="8" style="1282"/>
    <col min="1272" max="1272" width="1.140625" style="1282" customWidth="1"/>
    <col min="1273" max="1273" width="1.7109375" style="1282" customWidth="1"/>
    <col min="1274" max="1274" width="7.42578125" style="1282" customWidth="1"/>
    <col min="1275" max="1275" width="1.7109375" style="1282" customWidth="1"/>
    <col min="1276" max="1276" width="5.7109375" style="1282" customWidth="1"/>
    <col min="1277" max="1277" width="1.140625" style="1282" customWidth="1"/>
    <col min="1278" max="1278" width="5.140625" style="1282" customWidth="1"/>
    <col min="1279" max="1279" width="1.140625" style="1282" customWidth="1"/>
    <col min="1280" max="1280" width="9.7109375" style="1282" customWidth="1"/>
    <col min="1281" max="1282" width="1.140625" style="1282" customWidth="1"/>
    <col min="1283" max="1283" width="14.85546875" style="1282" customWidth="1"/>
    <col min="1284" max="1284" width="2.28515625" style="1282" customWidth="1"/>
    <col min="1285" max="1285" width="16.5703125" style="1282" customWidth="1"/>
    <col min="1286" max="1286" width="16" style="1282" customWidth="1"/>
    <col min="1287" max="1287" width="1.140625" style="1282" customWidth="1"/>
    <col min="1288" max="1524" width="6.85546875" style="1282" customWidth="1"/>
    <col min="1525" max="1525" width="8" style="1282"/>
    <col min="1526" max="1526" width="1.140625" style="1282" customWidth="1"/>
    <col min="1527" max="1527" width="8" style="1282"/>
    <col min="1528" max="1528" width="1.140625" style="1282" customWidth="1"/>
    <col min="1529" max="1529" width="1.7109375" style="1282" customWidth="1"/>
    <col min="1530" max="1530" width="7.42578125" style="1282" customWidth="1"/>
    <col min="1531" max="1531" width="1.7109375" style="1282" customWidth="1"/>
    <col min="1532" max="1532" width="5.7109375" style="1282" customWidth="1"/>
    <col min="1533" max="1533" width="1.140625" style="1282" customWidth="1"/>
    <col min="1534" max="1534" width="5.140625" style="1282" customWidth="1"/>
    <col min="1535" max="1535" width="1.140625" style="1282" customWidth="1"/>
    <col min="1536" max="1536" width="9.7109375" style="1282" customWidth="1"/>
    <col min="1537" max="1538" width="1.140625" style="1282" customWidth="1"/>
    <col min="1539" max="1539" width="14.85546875" style="1282" customWidth="1"/>
    <col min="1540" max="1540" width="2.28515625" style="1282" customWidth="1"/>
    <col min="1541" max="1541" width="16.5703125" style="1282" customWidth="1"/>
    <col min="1542" max="1542" width="16" style="1282" customWidth="1"/>
    <col min="1543" max="1543" width="1.140625" style="1282" customWidth="1"/>
    <col min="1544" max="1780" width="6.85546875" style="1282" customWidth="1"/>
    <col min="1781" max="1781" width="8" style="1282"/>
    <col min="1782" max="1782" width="1.140625" style="1282" customWidth="1"/>
    <col min="1783" max="1783" width="8" style="1282"/>
    <col min="1784" max="1784" width="1.140625" style="1282" customWidth="1"/>
    <col min="1785" max="1785" width="1.7109375" style="1282" customWidth="1"/>
    <col min="1786" max="1786" width="7.42578125" style="1282" customWidth="1"/>
    <col min="1787" max="1787" width="1.7109375" style="1282" customWidth="1"/>
    <col min="1788" max="1788" width="5.7109375" style="1282" customWidth="1"/>
    <col min="1789" max="1789" width="1.140625" style="1282" customWidth="1"/>
    <col min="1790" max="1790" width="5.140625" style="1282" customWidth="1"/>
    <col min="1791" max="1791" width="1.140625" style="1282" customWidth="1"/>
    <col min="1792" max="1792" width="9.7109375" style="1282" customWidth="1"/>
    <col min="1793" max="1794" width="1.140625" style="1282" customWidth="1"/>
    <col min="1795" max="1795" width="14.85546875" style="1282" customWidth="1"/>
    <col min="1796" max="1796" width="2.28515625" style="1282" customWidth="1"/>
    <col min="1797" max="1797" width="16.5703125" style="1282" customWidth="1"/>
    <col min="1798" max="1798" width="16" style="1282" customWidth="1"/>
    <col min="1799" max="1799" width="1.140625" style="1282" customWidth="1"/>
    <col min="1800" max="2036" width="6.85546875" style="1282" customWidth="1"/>
    <col min="2037" max="2037" width="8" style="1282"/>
    <col min="2038" max="2038" width="1.140625" style="1282" customWidth="1"/>
    <col min="2039" max="2039" width="8" style="1282"/>
    <col min="2040" max="2040" width="1.140625" style="1282" customWidth="1"/>
    <col min="2041" max="2041" width="1.7109375" style="1282" customWidth="1"/>
    <col min="2042" max="2042" width="7.42578125" style="1282" customWidth="1"/>
    <col min="2043" max="2043" width="1.7109375" style="1282" customWidth="1"/>
    <col min="2044" max="2044" width="5.7109375" style="1282" customWidth="1"/>
    <col min="2045" max="2045" width="1.140625" style="1282" customWidth="1"/>
    <col min="2046" max="2046" width="5.140625" style="1282" customWidth="1"/>
    <col min="2047" max="2047" width="1.140625" style="1282" customWidth="1"/>
    <col min="2048" max="2048" width="9.7109375" style="1282" customWidth="1"/>
    <col min="2049" max="2050" width="1.140625" style="1282" customWidth="1"/>
    <col min="2051" max="2051" width="14.85546875" style="1282" customWidth="1"/>
    <col min="2052" max="2052" width="2.28515625" style="1282" customWidth="1"/>
    <col min="2053" max="2053" width="16.5703125" style="1282" customWidth="1"/>
    <col min="2054" max="2054" width="16" style="1282" customWidth="1"/>
    <col min="2055" max="2055" width="1.140625" style="1282" customWidth="1"/>
    <col min="2056" max="2292" width="6.85546875" style="1282" customWidth="1"/>
    <col min="2293" max="2293" width="8" style="1282"/>
    <col min="2294" max="2294" width="1.140625" style="1282" customWidth="1"/>
    <col min="2295" max="2295" width="8" style="1282"/>
    <col min="2296" max="2296" width="1.140625" style="1282" customWidth="1"/>
    <col min="2297" max="2297" width="1.7109375" style="1282" customWidth="1"/>
    <col min="2298" max="2298" width="7.42578125" style="1282" customWidth="1"/>
    <col min="2299" max="2299" width="1.7109375" style="1282" customWidth="1"/>
    <col min="2300" max="2300" width="5.7109375" style="1282" customWidth="1"/>
    <col min="2301" max="2301" width="1.140625" style="1282" customWidth="1"/>
    <col min="2302" max="2302" width="5.140625" style="1282" customWidth="1"/>
    <col min="2303" max="2303" width="1.140625" style="1282" customWidth="1"/>
    <col min="2304" max="2304" width="9.7109375" style="1282" customWidth="1"/>
    <col min="2305" max="2306" width="1.140625" style="1282" customWidth="1"/>
    <col min="2307" max="2307" width="14.85546875" style="1282" customWidth="1"/>
    <col min="2308" max="2308" width="2.28515625" style="1282" customWidth="1"/>
    <col min="2309" max="2309" width="16.5703125" style="1282" customWidth="1"/>
    <col min="2310" max="2310" width="16" style="1282" customWidth="1"/>
    <col min="2311" max="2311" width="1.140625" style="1282" customWidth="1"/>
    <col min="2312" max="2548" width="6.85546875" style="1282" customWidth="1"/>
    <col min="2549" max="2549" width="8" style="1282"/>
    <col min="2550" max="2550" width="1.140625" style="1282" customWidth="1"/>
    <col min="2551" max="2551" width="8" style="1282"/>
    <col min="2552" max="2552" width="1.140625" style="1282" customWidth="1"/>
    <col min="2553" max="2553" width="1.7109375" style="1282" customWidth="1"/>
    <col min="2554" max="2554" width="7.42578125" style="1282" customWidth="1"/>
    <col min="2555" max="2555" width="1.7109375" style="1282" customWidth="1"/>
    <col min="2556" max="2556" width="5.7109375" style="1282" customWidth="1"/>
    <col min="2557" max="2557" width="1.140625" style="1282" customWidth="1"/>
    <col min="2558" max="2558" width="5.140625" style="1282" customWidth="1"/>
    <col min="2559" max="2559" width="1.140625" style="1282" customWidth="1"/>
    <col min="2560" max="2560" width="9.7109375" style="1282" customWidth="1"/>
    <col min="2561" max="2562" width="1.140625" style="1282" customWidth="1"/>
    <col min="2563" max="2563" width="14.85546875" style="1282" customWidth="1"/>
    <col min="2564" max="2564" width="2.28515625" style="1282" customWidth="1"/>
    <col min="2565" max="2565" width="16.5703125" style="1282" customWidth="1"/>
    <col min="2566" max="2566" width="16" style="1282" customWidth="1"/>
    <col min="2567" max="2567" width="1.140625" style="1282" customWidth="1"/>
    <col min="2568" max="2804" width="6.85546875" style="1282" customWidth="1"/>
    <col min="2805" max="2805" width="8" style="1282"/>
    <col min="2806" max="2806" width="1.140625" style="1282" customWidth="1"/>
    <col min="2807" max="2807" width="8" style="1282"/>
    <col min="2808" max="2808" width="1.140625" style="1282" customWidth="1"/>
    <col min="2809" max="2809" width="1.7109375" style="1282" customWidth="1"/>
    <col min="2810" max="2810" width="7.42578125" style="1282" customWidth="1"/>
    <col min="2811" max="2811" width="1.7109375" style="1282" customWidth="1"/>
    <col min="2812" max="2812" width="5.7109375" style="1282" customWidth="1"/>
    <col min="2813" max="2813" width="1.140625" style="1282" customWidth="1"/>
    <col min="2814" max="2814" width="5.140625" style="1282" customWidth="1"/>
    <col min="2815" max="2815" width="1.140625" style="1282" customWidth="1"/>
    <col min="2816" max="2816" width="9.7109375" style="1282" customWidth="1"/>
    <col min="2817" max="2818" width="1.140625" style="1282" customWidth="1"/>
    <col min="2819" max="2819" width="14.85546875" style="1282" customWidth="1"/>
    <col min="2820" max="2820" width="2.28515625" style="1282" customWidth="1"/>
    <col min="2821" max="2821" width="16.5703125" style="1282" customWidth="1"/>
    <col min="2822" max="2822" width="16" style="1282" customWidth="1"/>
    <col min="2823" max="2823" width="1.140625" style="1282" customWidth="1"/>
    <col min="2824" max="3060" width="6.85546875" style="1282" customWidth="1"/>
    <col min="3061" max="3061" width="8" style="1282"/>
    <col min="3062" max="3062" width="1.140625" style="1282" customWidth="1"/>
    <col min="3063" max="3063" width="8" style="1282"/>
    <col min="3064" max="3064" width="1.140625" style="1282" customWidth="1"/>
    <col min="3065" max="3065" width="1.7109375" style="1282" customWidth="1"/>
    <col min="3066" max="3066" width="7.42578125" style="1282" customWidth="1"/>
    <col min="3067" max="3067" width="1.7109375" style="1282" customWidth="1"/>
    <col min="3068" max="3068" width="5.7109375" style="1282" customWidth="1"/>
    <col min="3069" max="3069" width="1.140625" style="1282" customWidth="1"/>
    <col min="3070" max="3070" width="5.140625" style="1282" customWidth="1"/>
    <col min="3071" max="3071" width="1.140625" style="1282" customWidth="1"/>
    <col min="3072" max="3072" width="9.7109375" style="1282" customWidth="1"/>
    <col min="3073" max="3074" width="1.140625" style="1282" customWidth="1"/>
    <col min="3075" max="3075" width="14.85546875" style="1282" customWidth="1"/>
    <col min="3076" max="3076" width="2.28515625" style="1282" customWidth="1"/>
    <col min="3077" max="3077" width="16.5703125" style="1282" customWidth="1"/>
    <col min="3078" max="3078" width="16" style="1282" customWidth="1"/>
    <col min="3079" max="3079" width="1.140625" style="1282" customWidth="1"/>
    <col min="3080" max="3316" width="6.85546875" style="1282" customWidth="1"/>
    <col min="3317" max="3317" width="8" style="1282"/>
    <col min="3318" max="3318" width="1.140625" style="1282" customWidth="1"/>
    <col min="3319" max="3319" width="8" style="1282"/>
    <col min="3320" max="3320" width="1.140625" style="1282" customWidth="1"/>
    <col min="3321" max="3321" width="1.7109375" style="1282" customWidth="1"/>
    <col min="3322" max="3322" width="7.42578125" style="1282" customWidth="1"/>
    <col min="3323" max="3323" width="1.7109375" style="1282" customWidth="1"/>
    <col min="3324" max="3324" width="5.7109375" style="1282" customWidth="1"/>
    <col min="3325" max="3325" width="1.140625" style="1282" customWidth="1"/>
    <col min="3326" max="3326" width="5.140625" style="1282" customWidth="1"/>
    <col min="3327" max="3327" width="1.140625" style="1282" customWidth="1"/>
    <col min="3328" max="3328" width="9.7109375" style="1282" customWidth="1"/>
    <col min="3329" max="3330" width="1.140625" style="1282" customWidth="1"/>
    <col min="3331" max="3331" width="14.85546875" style="1282" customWidth="1"/>
    <col min="3332" max="3332" width="2.28515625" style="1282" customWidth="1"/>
    <col min="3333" max="3333" width="16.5703125" style="1282" customWidth="1"/>
    <col min="3334" max="3334" width="16" style="1282" customWidth="1"/>
    <col min="3335" max="3335" width="1.140625" style="1282" customWidth="1"/>
    <col min="3336" max="3572" width="6.85546875" style="1282" customWidth="1"/>
    <col min="3573" max="3573" width="8" style="1282"/>
    <col min="3574" max="3574" width="1.140625" style="1282" customWidth="1"/>
    <col min="3575" max="3575" width="8" style="1282"/>
    <col min="3576" max="3576" width="1.140625" style="1282" customWidth="1"/>
    <col min="3577" max="3577" width="1.7109375" style="1282" customWidth="1"/>
    <col min="3578" max="3578" width="7.42578125" style="1282" customWidth="1"/>
    <col min="3579" max="3579" width="1.7109375" style="1282" customWidth="1"/>
    <col min="3580" max="3580" width="5.7109375" style="1282" customWidth="1"/>
    <col min="3581" max="3581" width="1.140625" style="1282" customWidth="1"/>
    <col min="3582" max="3582" width="5.140625" style="1282" customWidth="1"/>
    <col min="3583" max="3583" width="1.140625" style="1282" customWidth="1"/>
    <col min="3584" max="3584" width="9.7109375" style="1282" customWidth="1"/>
    <col min="3585" max="3586" width="1.140625" style="1282" customWidth="1"/>
    <col min="3587" max="3587" width="14.85546875" style="1282" customWidth="1"/>
    <col min="3588" max="3588" width="2.28515625" style="1282" customWidth="1"/>
    <col min="3589" max="3589" width="16.5703125" style="1282" customWidth="1"/>
    <col min="3590" max="3590" width="16" style="1282" customWidth="1"/>
    <col min="3591" max="3591" width="1.140625" style="1282" customWidth="1"/>
    <col min="3592" max="3828" width="6.85546875" style="1282" customWidth="1"/>
    <col min="3829" max="3829" width="8" style="1282"/>
    <col min="3830" max="3830" width="1.140625" style="1282" customWidth="1"/>
    <col min="3831" max="3831" width="8" style="1282"/>
    <col min="3832" max="3832" width="1.140625" style="1282" customWidth="1"/>
    <col min="3833" max="3833" width="1.7109375" style="1282" customWidth="1"/>
    <col min="3834" max="3834" width="7.42578125" style="1282" customWidth="1"/>
    <col min="3835" max="3835" width="1.7109375" style="1282" customWidth="1"/>
    <col min="3836" max="3836" width="5.7109375" style="1282" customWidth="1"/>
    <col min="3837" max="3837" width="1.140625" style="1282" customWidth="1"/>
    <col min="3838" max="3838" width="5.140625" style="1282" customWidth="1"/>
    <col min="3839" max="3839" width="1.140625" style="1282" customWidth="1"/>
    <col min="3840" max="3840" width="9.7109375" style="1282" customWidth="1"/>
    <col min="3841" max="3842" width="1.140625" style="1282" customWidth="1"/>
    <col min="3843" max="3843" width="14.85546875" style="1282" customWidth="1"/>
    <col min="3844" max="3844" width="2.28515625" style="1282" customWidth="1"/>
    <col min="3845" max="3845" width="16.5703125" style="1282" customWidth="1"/>
    <col min="3846" max="3846" width="16" style="1282" customWidth="1"/>
    <col min="3847" max="3847" width="1.140625" style="1282" customWidth="1"/>
    <col min="3848" max="4084" width="6.85546875" style="1282" customWidth="1"/>
    <col min="4085" max="4085" width="8" style="1282"/>
    <col min="4086" max="4086" width="1.140625" style="1282" customWidth="1"/>
    <col min="4087" max="4087" width="8" style="1282"/>
    <col min="4088" max="4088" width="1.140625" style="1282" customWidth="1"/>
    <col min="4089" max="4089" width="1.7109375" style="1282" customWidth="1"/>
    <col min="4090" max="4090" width="7.42578125" style="1282" customWidth="1"/>
    <col min="4091" max="4091" width="1.7109375" style="1282" customWidth="1"/>
    <col min="4092" max="4092" width="5.7109375" style="1282" customWidth="1"/>
    <col min="4093" max="4093" width="1.140625" style="1282" customWidth="1"/>
    <col min="4094" max="4094" width="5.140625" style="1282" customWidth="1"/>
    <col min="4095" max="4095" width="1.140625" style="1282" customWidth="1"/>
    <col min="4096" max="4096" width="9.7109375" style="1282" customWidth="1"/>
    <col min="4097" max="4098" width="1.140625" style="1282" customWidth="1"/>
    <col min="4099" max="4099" width="14.85546875" style="1282" customWidth="1"/>
    <col min="4100" max="4100" width="2.28515625" style="1282" customWidth="1"/>
    <col min="4101" max="4101" width="16.5703125" style="1282" customWidth="1"/>
    <col min="4102" max="4102" width="16" style="1282" customWidth="1"/>
    <col min="4103" max="4103" width="1.140625" style="1282" customWidth="1"/>
    <col min="4104" max="4340" width="6.85546875" style="1282" customWidth="1"/>
    <col min="4341" max="4341" width="8" style="1282"/>
    <col min="4342" max="4342" width="1.140625" style="1282" customWidth="1"/>
    <col min="4343" max="4343" width="8" style="1282"/>
    <col min="4344" max="4344" width="1.140625" style="1282" customWidth="1"/>
    <col min="4345" max="4345" width="1.7109375" style="1282" customWidth="1"/>
    <col min="4346" max="4346" width="7.42578125" style="1282" customWidth="1"/>
    <col min="4347" max="4347" width="1.7109375" style="1282" customWidth="1"/>
    <col min="4348" max="4348" width="5.7109375" style="1282" customWidth="1"/>
    <col min="4349" max="4349" width="1.140625" style="1282" customWidth="1"/>
    <col min="4350" max="4350" width="5.140625" style="1282" customWidth="1"/>
    <col min="4351" max="4351" width="1.140625" style="1282" customWidth="1"/>
    <col min="4352" max="4352" width="9.7109375" style="1282" customWidth="1"/>
    <col min="4353" max="4354" width="1.140625" style="1282" customWidth="1"/>
    <col min="4355" max="4355" width="14.85546875" style="1282" customWidth="1"/>
    <col min="4356" max="4356" width="2.28515625" style="1282" customWidth="1"/>
    <col min="4357" max="4357" width="16.5703125" style="1282" customWidth="1"/>
    <col min="4358" max="4358" width="16" style="1282" customWidth="1"/>
    <col min="4359" max="4359" width="1.140625" style="1282" customWidth="1"/>
    <col min="4360" max="4596" width="6.85546875" style="1282" customWidth="1"/>
    <col min="4597" max="4597" width="8" style="1282"/>
    <col min="4598" max="4598" width="1.140625" style="1282" customWidth="1"/>
    <col min="4599" max="4599" width="8" style="1282"/>
    <col min="4600" max="4600" width="1.140625" style="1282" customWidth="1"/>
    <col min="4601" max="4601" width="1.7109375" style="1282" customWidth="1"/>
    <col min="4602" max="4602" width="7.42578125" style="1282" customWidth="1"/>
    <col min="4603" max="4603" width="1.7109375" style="1282" customWidth="1"/>
    <col min="4604" max="4604" width="5.7109375" style="1282" customWidth="1"/>
    <col min="4605" max="4605" width="1.140625" style="1282" customWidth="1"/>
    <col min="4606" max="4606" width="5.140625" style="1282" customWidth="1"/>
    <col min="4607" max="4607" width="1.140625" style="1282" customWidth="1"/>
    <col min="4608" max="4608" width="9.7109375" style="1282" customWidth="1"/>
    <col min="4609" max="4610" width="1.140625" style="1282" customWidth="1"/>
    <col min="4611" max="4611" width="14.85546875" style="1282" customWidth="1"/>
    <col min="4612" max="4612" width="2.28515625" style="1282" customWidth="1"/>
    <col min="4613" max="4613" width="16.5703125" style="1282" customWidth="1"/>
    <col min="4614" max="4614" width="16" style="1282" customWidth="1"/>
    <col min="4615" max="4615" width="1.140625" style="1282" customWidth="1"/>
    <col min="4616" max="4852" width="6.85546875" style="1282" customWidth="1"/>
    <col min="4853" max="4853" width="8" style="1282"/>
    <col min="4854" max="4854" width="1.140625" style="1282" customWidth="1"/>
    <col min="4855" max="4855" width="8" style="1282"/>
    <col min="4856" max="4856" width="1.140625" style="1282" customWidth="1"/>
    <col min="4857" max="4857" width="1.7109375" style="1282" customWidth="1"/>
    <col min="4858" max="4858" width="7.42578125" style="1282" customWidth="1"/>
    <col min="4859" max="4859" width="1.7109375" style="1282" customWidth="1"/>
    <col min="4860" max="4860" width="5.7109375" style="1282" customWidth="1"/>
    <col min="4861" max="4861" width="1.140625" style="1282" customWidth="1"/>
    <col min="4862" max="4862" width="5.140625" style="1282" customWidth="1"/>
    <col min="4863" max="4863" width="1.140625" style="1282" customWidth="1"/>
    <col min="4864" max="4864" width="9.7109375" style="1282" customWidth="1"/>
    <col min="4865" max="4866" width="1.140625" style="1282" customWidth="1"/>
    <col min="4867" max="4867" width="14.85546875" style="1282" customWidth="1"/>
    <col min="4868" max="4868" width="2.28515625" style="1282" customWidth="1"/>
    <col min="4869" max="4869" width="16.5703125" style="1282" customWidth="1"/>
    <col min="4870" max="4870" width="16" style="1282" customWidth="1"/>
    <col min="4871" max="4871" width="1.140625" style="1282" customWidth="1"/>
    <col min="4872" max="5108" width="6.85546875" style="1282" customWidth="1"/>
    <col min="5109" max="5109" width="8" style="1282"/>
    <col min="5110" max="5110" width="1.140625" style="1282" customWidth="1"/>
    <col min="5111" max="5111" width="8" style="1282"/>
    <col min="5112" max="5112" width="1.140625" style="1282" customWidth="1"/>
    <col min="5113" max="5113" width="1.7109375" style="1282" customWidth="1"/>
    <col min="5114" max="5114" width="7.42578125" style="1282" customWidth="1"/>
    <col min="5115" max="5115" width="1.7109375" style="1282" customWidth="1"/>
    <col min="5116" max="5116" width="5.7109375" style="1282" customWidth="1"/>
    <col min="5117" max="5117" width="1.140625" style="1282" customWidth="1"/>
    <col min="5118" max="5118" width="5.140625" style="1282" customWidth="1"/>
    <col min="5119" max="5119" width="1.140625" style="1282" customWidth="1"/>
    <col min="5120" max="5120" width="9.7109375" style="1282" customWidth="1"/>
    <col min="5121" max="5122" width="1.140625" style="1282" customWidth="1"/>
    <col min="5123" max="5123" width="14.85546875" style="1282" customWidth="1"/>
    <col min="5124" max="5124" width="2.28515625" style="1282" customWidth="1"/>
    <col min="5125" max="5125" width="16.5703125" style="1282" customWidth="1"/>
    <col min="5126" max="5126" width="16" style="1282" customWidth="1"/>
    <col min="5127" max="5127" width="1.140625" style="1282" customWidth="1"/>
    <col min="5128" max="5364" width="6.85546875" style="1282" customWidth="1"/>
    <col min="5365" max="5365" width="8" style="1282"/>
    <col min="5366" max="5366" width="1.140625" style="1282" customWidth="1"/>
    <col min="5367" max="5367" width="8" style="1282"/>
    <col min="5368" max="5368" width="1.140625" style="1282" customWidth="1"/>
    <col min="5369" max="5369" width="1.7109375" style="1282" customWidth="1"/>
    <col min="5370" max="5370" width="7.42578125" style="1282" customWidth="1"/>
    <col min="5371" max="5371" width="1.7109375" style="1282" customWidth="1"/>
    <col min="5372" max="5372" width="5.7109375" style="1282" customWidth="1"/>
    <col min="5373" max="5373" width="1.140625" style="1282" customWidth="1"/>
    <col min="5374" max="5374" width="5.140625" style="1282" customWidth="1"/>
    <col min="5375" max="5375" width="1.140625" style="1282" customWidth="1"/>
    <col min="5376" max="5376" width="9.7109375" style="1282" customWidth="1"/>
    <col min="5377" max="5378" width="1.140625" style="1282" customWidth="1"/>
    <col min="5379" max="5379" width="14.85546875" style="1282" customWidth="1"/>
    <col min="5380" max="5380" width="2.28515625" style="1282" customWidth="1"/>
    <col min="5381" max="5381" width="16.5703125" style="1282" customWidth="1"/>
    <col min="5382" max="5382" width="16" style="1282" customWidth="1"/>
    <col min="5383" max="5383" width="1.140625" style="1282" customWidth="1"/>
    <col min="5384" max="5620" width="6.85546875" style="1282" customWidth="1"/>
    <col min="5621" max="5621" width="8" style="1282"/>
    <col min="5622" max="5622" width="1.140625" style="1282" customWidth="1"/>
    <col min="5623" max="5623" width="8" style="1282"/>
    <col min="5624" max="5624" width="1.140625" style="1282" customWidth="1"/>
    <col min="5625" max="5625" width="1.7109375" style="1282" customWidth="1"/>
    <col min="5626" max="5626" width="7.42578125" style="1282" customWidth="1"/>
    <col min="5627" max="5627" width="1.7109375" style="1282" customWidth="1"/>
    <col min="5628" max="5628" width="5.7109375" style="1282" customWidth="1"/>
    <col min="5629" max="5629" width="1.140625" style="1282" customWidth="1"/>
    <col min="5630" max="5630" width="5.140625" style="1282" customWidth="1"/>
    <col min="5631" max="5631" width="1.140625" style="1282" customWidth="1"/>
    <col min="5632" max="5632" width="9.7109375" style="1282" customWidth="1"/>
    <col min="5633" max="5634" width="1.140625" style="1282" customWidth="1"/>
    <col min="5635" max="5635" width="14.85546875" style="1282" customWidth="1"/>
    <col min="5636" max="5636" width="2.28515625" style="1282" customWidth="1"/>
    <col min="5637" max="5637" width="16.5703125" style="1282" customWidth="1"/>
    <col min="5638" max="5638" width="16" style="1282" customWidth="1"/>
    <col min="5639" max="5639" width="1.140625" style="1282" customWidth="1"/>
    <col min="5640" max="5876" width="6.85546875" style="1282" customWidth="1"/>
    <col min="5877" max="5877" width="8" style="1282"/>
    <col min="5878" max="5878" width="1.140625" style="1282" customWidth="1"/>
    <col min="5879" max="5879" width="8" style="1282"/>
    <col min="5880" max="5880" width="1.140625" style="1282" customWidth="1"/>
    <col min="5881" max="5881" width="1.7109375" style="1282" customWidth="1"/>
    <col min="5882" max="5882" width="7.42578125" style="1282" customWidth="1"/>
    <col min="5883" max="5883" width="1.7109375" style="1282" customWidth="1"/>
    <col min="5884" max="5884" width="5.7109375" style="1282" customWidth="1"/>
    <col min="5885" max="5885" width="1.140625" style="1282" customWidth="1"/>
    <col min="5886" max="5886" width="5.140625" style="1282" customWidth="1"/>
    <col min="5887" max="5887" width="1.140625" style="1282" customWidth="1"/>
    <col min="5888" max="5888" width="9.7109375" style="1282" customWidth="1"/>
    <col min="5889" max="5890" width="1.140625" style="1282" customWidth="1"/>
    <col min="5891" max="5891" width="14.85546875" style="1282" customWidth="1"/>
    <col min="5892" max="5892" width="2.28515625" style="1282" customWidth="1"/>
    <col min="5893" max="5893" width="16.5703125" style="1282" customWidth="1"/>
    <col min="5894" max="5894" width="16" style="1282" customWidth="1"/>
    <col min="5895" max="5895" width="1.140625" style="1282" customWidth="1"/>
    <col min="5896" max="6132" width="6.85546875" style="1282" customWidth="1"/>
    <col min="6133" max="6133" width="8" style="1282"/>
    <col min="6134" max="6134" width="1.140625" style="1282" customWidth="1"/>
    <col min="6135" max="6135" width="8" style="1282"/>
    <col min="6136" max="6136" width="1.140625" style="1282" customWidth="1"/>
    <col min="6137" max="6137" width="1.7109375" style="1282" customWidth="1"/>
    <col min="6138" max="6138" width="7.42578125" style="1282" customWidth="1"/>
    <col min="6139" max="6139" width="1.7109375" style="1282" customWidth="1"/>
    <col min="6140" max="6140" width="5.7109375" style="1282" customWidth="1"/>
    <col min="6141" max="6141" width="1.140625" style="1282" customWidth="1"/>
    <col min="6142" max="6142" width="5.140625" style="1282" customWidth="1"/>
    <col min="6143" max="6143" width="1.140625" style="1282" customWidth="1"/>
    <col min="6144" max="6144" width="9.7109375" style="1282" customWidth="1"/>
    <col min="6145" max="6146" width="1.140625" style="1282" customWidth="1"/>
    <col min="6147" max="6147" width="14.85546875" style="1282" customWidth="1"/>
    <col min="6148" max="6148" width="2.28515625" style="1282" customWidth="1"/>
    <col min="6149" max="6149" width="16.5703125" style="1282" customWidth="1"/>
    <col min="6150" max="6150" width="16" style="1282" customWidth="1"/>
    <col min="6151" max="6151" width="1.140625" style="1282" customWidth="1"/>
    <col min="6152" max="6388" width="6.85546875" style="1282" customWidth="1"/>
    <col min="6389" max="6389" width="8" style="1282"/>
    <col min="6390" max="6390" width="1.140625" style="1282" customWidth="1"/>
    <col min="6391" max="6391" width="8" style="1282"/>
    <col min="6392" max="6392" width="1.140625" style="1282" customWidth="1"/>
    <col min="6393" max="6393" width="1.7109375" style="1282" customWidth="1"/>
    <col min="6394" max="6394" width="7.42578125" style="1282" customWidth="1"/>
    <col min="6395" max="6395" width="1.7109375" style="1282" customWidth="1"/>
    <col min="6396" max="6396" width="5.7109375" style="1282" customWidth="1"/>
    <col min="6397" max="6397" width="1.140625" style="1282" customWidth="1"/>
    <col min="6398" max="6398" width="5.140625" style="1282" customWidth="1"/>
    <col min="6399" max="6399" width="1.140625" style="1282" customWidth="1"/>
    <col min="6400" max="6400" width="9.7109375" style="1282" customWidth="1"/>
    <col min="6401" max="6402" width="1.140625" style="1282" customWidth="1"/>
    <col min="6403" max="6403" width="14.85546875" style="1282" customWidth="1"/>
    <col min="6404" max="6404" width="2.28515625" style="1282" customWidth="1"/>
    <col min="6405" max="6405" width="16.5703125" style="1282" customWidth="1"/>
    <col min="6406" max="6406" width="16" style="1282" customWidth="1"/>
    <col min="6407" max="6407" width="1.140625" style="1282" customWidth="1"/>
    <col min="6408" max="6644" width="6.85546875" style="1282" customWidth="1"/>
    <col min="6645" max="6645" width="8" style="1282"/>
    <col min="6646" max="6646" width="1.140625" style="1282" customWidth="1"/>
    <col min="6647" max="6647" width="8" style="1282"/>
    <col min="6648" max="6648" width="1.140625" style="1282" customWidth="1"/>
    <col min="6649" max="6649" width="1.7109375" style="1282" customWidth="1"/>
    <col min="6650" max="6650" width="7.42578125" style="1282" customWidth="1"/>
    <col min="6651" max="6651" width="1.7109375" style="1282" customWidth="1"/>
    <col min="6652" max="6652" width="5.7109375" style="1282" customWidth="1"/>
    <col min="6653" max="6653" width="1.140625" style="1282" customWidth="1"/>
    <col min="6654" max="6654" width="5.140625" style="1282" customWidth="1"/>
    <col min="6655" max="6655" width="1.140625" style="1282" customWidth="1"/>
    <col min="6656" max="6656" width="9.7109375" style="1282" customWidth="1"/>
    <col min="6657" max="6658" width="1.140625" style="1282" customWidth="1"/>
    <col min="6659" max="6659" width="14.85546875" style="1282" customWidth="1"/>
    <col min="6660" max="6660" width="2.28515625" style="1282" customWidth="1"/>
    <col min="6661" max="6661" width="16.5703125" style="1282" customWidth="1"/>
    <col min="6662" max="6662" width="16" style="1282" customWidth="1"/>
    <col min="6663" max="6663" width="1.140625" style="1282" customWidth="1"/>
    <col min="6664" max="6900" width="6.85546875" style="1282" customWidth="1"/>
    <col min="6901" max="6901" width="8" style="1282"/>
    <col min="6902" max="6902" width="1.140625" style="1282" customWidth="1"/>
    <col min="6903" max="6903" width="8" style="1282"/>
    <col min="6904" max="6904" width="1.140625" style="1282" customWidth="1"/>
    <col min="6905" max="6905" width="1.7109375" style="1282" customWidth="1"/>
    <col min="6906" max="6906" width="7.42578125" style="1282" customWidth="1"/>
    <col min="6907" max="6907" width="1.7109375" style="1282" customWidth="1"/>
    <col min="6908" max="6908" width="5.7109375" style="1282" customWidth="1"/>
    <col min="6909" max="6909" width="1.140625" style="1282" customWidth="1"/>
    <col min="6910" max="6910" width="5.140625" style="1282" customWidth="1"/>
    <col min="6911" max="6911" width="1.140625" style="1282" customWidth="1"/>
    <col min="6912" max="6912" width="9.7109375" style="1282" customWidth="1"/>
    <col min="6913" max="6914" width="1.140625" style="1282" customWidth="1"/>
    <col min="6915" max="6915" width="14.85546875" style="1282" customWidth="1"/>
    <col min="6916" max="6916" width="2.28515625" style="1282" customWidth="1"/>
    <col min="6917" max="6917" width="16.5703125" style="1282" customWidth="1"/>
    <col min="6918" max="6918" width="16" style="1282" customWidth="1"/>
    <col min="6919" max="6919" width="1.140625" style="1282" customWidth="1"/>
    <col min="6920" max="7156" width="6.85546875" style="1282" customWidth="1"/>
    <col min="7157" max="7157" width="8" style="1282"/>
    <col min="7158" max="7158" width="1.140625" style="1282" customWidth="1"/>
    <col min="7159" max="7159" width="8" style="1282"/>
    <col min="7160" max="7160" width="1.140625" style="1282" customWidth="1"/>
    <col min="7161" max="7161" width="1.7109375" style="1282" customWidth="1"/>
    <col min="7162" max="7162" width="7.42578125" style="1282" customWidth="1"/>
    <col min="7163" max="7163" width="1.7109375" style="1282" customWidth="1"/>
    <col min="7164" max="7164" width="5.7109375" style="1282" customWidth="1"/>
    <col min="7165" max="7165" width="1.140625" style="1282" customWidth="1"/>
    <col min="7166" max="7166" width="5.140625" style="1282" customWidth="1"/>
    <col min="7167" max="7167" width="1.140625" style="1282" customWidth="1"/>
    <col min="7168" max="7168" width="9.7109375" style="1282" customWidth="1"/>
    <col min="7169" max="7170" width="1.140625" style="1282" customWidth="1"/>
    <col min="7171" max="7171" width="14.85546875" style="1282" customWidth="1"/>
    <col min="7172" max="7172" width="2.28515625" style="1282" customWidth="1"/>
    <col min="7173" max="7173" width="16.5703125" style="1282" customWidth="1"/>
    <col min="7174" max="7174" width="16" style="1282" customWidth="1"/>
    <col min="7175" max="7175" width="1.140625" style="1282" customWidth="1"/>
    <col min="7176" max="7412" width="6.85546875" style="1282" customWidth="1"/>
    <col min="7413" max="7413" width="8" style="1282"/>
    <col min="7414" max="7414" width="1.140625" style="1282" customWidth="1"/>
    <col min="7415" max="7415" width="8" style="1282"/>
    <col min="7416" max="7416" width="1.140625" style="1282" customWidth="1"/>
    <col min="7417" max="7417" width="1.7109375" style="1282" customWidth="1"/>
    <col min="7418" max="7418" width="7.42578125" style="1282" customWidth="1"/>
    <col min="7419" max="7419" width="1.7109375" style="1282" customWidth="1"/>
    <col min="7420" max="7420" width="5.7109375" style="1282" customWidth="1"/>
    <col min="7421" max="7421" width="1.140625" style="1282" customWidth="1"/>
    <col min="7422" max="7422" width="5.140625" style="1282" customWidth="1"/>
    <col min="7423" max="7423" width="1.140625" style="1282" customWidth="1"/>
    <col min="7424" max="7424" width="9.7109375" style="1282" customWidth="1"/>
    <col min="7425" max="7426" width="1.140625" style="1282" customWidth="1"/>
    <col min="7427" max="7427" width="14.85546875" style="1282" customWidth="1"/>
    <col min="7428" max="7428" width="2.28515625" style="1282" customWidth="1"/>
    <col min="7429" max="7429" width="16.5703125" style="1282" customWidth="1"/>
    <col min="7430" max="7430" width="16" style="1282" customWidth="1"/>
    <col min="7431" max="7431" width="1.140625" style="1282" customWidth="1"/>
    <col min="7432" max="7668" width="6.85546875" style="1282" customWidth="1"/>
    <col min="7669" max="7669" width="8" style="1282"/>
    <col min="7670" max="7670" width="1.140625" style="1282" customWidth="1"/>
    <col min="7671" max="7671" width="8" style="1282"/>
    <col min="7672" max="7672" width="1.140625" style="1282" customWidth="1"/>
    <col min="7673" max="7673" width="1.7109375" style="1282" customWidth="1"/>
    <col min="7674" max="7674" width="7.42578125" style="1282" customWidth="1"/>
    <col min="7675" max="7675" width="1.7109375" style="1282" customWidth="1"/>
    <col min="7676" max="7676" width="5.7109375" style="1282" customWidth="1"/>
    <col min="7677" max="7677" width="1.140625" style="1282" customWidth="1"/>
    <col min="7678" max="7678" width="5.140625" style="1282" customWidth="1"/>
    <col min="7679" max="7679" width="1.140625" style="1282" customWidth="1"/>
    <col min="7680" max="7680" width="9.7109375" style="1282" customWidth="1"/>
    <col min="7681" max="7682" width="1.140625" style="1282" customWidth="1"/>
    <col min="7683" max="7683" width="14.85546875" style="1282" customWidth="1"/>
    <col min="7684" max="7684" width="2.28515625" style="1282" customWidth="1"/>
    <col min="7685" max="7685" width="16.5703125" style="1282" customWidth="1"/>
    <col min="7686" max="7686" width="16" style="1282" customWidth="1"/>
    <col min="7687" max="7687" width="1.140625" style="1282" customWidth="1"/>
    <col min="7688" max="7924" width="6.85546875" style="1282" customWidth="1"/>
    <col min="7925" max="7925" width="8" style="1282"/>
    <col min="7926" max="7926" width="1.140625" style="1282" customWidth="1"/>
    <col min="7927" max="7927" width="8" style="1282"/>
    <col min="7928" max="7928" width="1.140625" style="1282" customWidth="1"/>
    <col min="7929" max="7929" width="1.7109375" style="1282" customWidth="1"/>
    <col min="7930" max="7930" width="7.42578125" style="1282" customWidth="1"/>
    <col min="7931" max="7931" width="1.7109375" style="1282" customWidth="1"/>
    <col min="7932" max="7932" width="5.7109375" style="1282" customWidth="1"/>
    <col min="7933" max="7933" width="1.140625" style="1282" customWidth="1"/>
    <col min="7934" max="7934" width="5.140625" style="1282" customWidth="1"/>
    <col min="7935" max="7935" width="1.140625" style="1282" customWidth="1"/>
    <col min="7936" max="7936" width="9.7109375" style="1282" customWidth="1"/>
    <col min="7937" max="7938" width="1.140625" style="1282" customWidth="1"/>
    <col min="7939" max="7939" width="14.85546875" style="1282" customWidth="1"/>
    <col min="7940" max="7940" width="2.28515625" style="1282" customWidth="1"/>
    <col min="7941" max="7941" width="16.5703125" style="1282" customWidth="1"/>
    <col min="7942" max="7942" width="16" style="1282" customWidth="1"/>
    <col min="7943" max="7943" width="1.140625" style="1282" customWidth="1"/>
    <col min="7944" max="8180" width="6.85546875" style="1282" customWidth="1"/>
    <col min="8181" max="8181" width="8" style="1282"/>
    <col min="8182" max="8182" width="1.140625" style="1282" customWidth="1"/>
    <col min="8183" max="8183" width="8" style="1282"/>
    <col min="8184" max="8184" width="1.140625" style="1282" customWidth="1"/>
    <col min="8185" max="8185" width="1.7109375" style="1282" customWidth="1"/>
    <col min="8186" max="8186" width="7.42578125" style="1282" customWidth="1"/>
    <col min="8187" max="8187" width="1.7109375" style="1282" customWidth="1"/>
    <col min="8188" max="8188" width="5.7109375" style="1282" customWidth="1"/>
    <col min="8189" max="8189" width="1.140625" style="1282" customWidth="1"/>
    <col min="8190" max="8190" width="5.140625" style="1282" customWidth="1"/>
    <col min="8191" max="8191" width="1.140625" style="1282" customWidth="1"/>
    <col min="8192" max="8192" width="9.7109375" style="1282" customWidth="1"/>
    <col min="8193" max="8194" width="1.140625" style="1282" customWidth="1"/>
    <col min="8195" max="8195" width="14.85546875" style="1282" customWidth="1"/>
    <col min="8196" max="8196" width="2.28515625" style="1282" customWidth="1"/>
    <col min="8197" max="8197" width="16.5703125" style="1282" customWidth="1"/>
    <col min="8198" max="8198" width="16" style="1282" customWidth="1"/>
    <col min="8199" max="8199" width="1.140625" style="1282" customWidth="1"/>
    <col min="8200" max="8436" width="6.85546875" style="1282" customWidth="1"/>
    <col min="8437" max="8437" width="8" style="1282"/>
    <col min="8438" max="8438" width="1.140625" style="1282" customWidth="1"/>
    <col min="8439" max="8439" width="8" style="1282"/>
    <col min="8440" max="8440" width="1.140625" style="1282" customWidth="1"/>
    <col min="8441" max="8441" width="1.7109375" style="1282" customWidth="1"/>
    <col min="8442" max="8442" width="7.42578125" style="1282" customWidth="1"/>
    <col min="8443" max="8443" width="1.7109375" style="1282" customWidth="1"/>
    <col min="8444" max="8444" width="5.7109375" style="1282" customWidth="1"/>
    <col min="8445" max="8445" width="1.140625" style="1282" customWidth="1"/>
    <col min="8446" max="8446" width="5.140625" style="1282" customWidth="1"/>
    <col min="8447" max="8447" width="1.140625" style="1282" customWidth="1"/>
    <col min="8448" max="8448" width="9.7109375" style="1282" customWidth="1"/>
    <col min="8449" max="8450" width="1.140625" style="1282" customWidth="1"/>
    <col min="8451" max="8451" width="14.85546875" style="1282" customWidth="1"/>
    <col min="8452" max="8452" width="2.28515625" style="1282" customWidth="1"/>
    <col min="8453" max="8453" width="16.5703125" style="1282" customWidth="1"/>
    <col min="8454" max="8454" width="16" style="1282" customWidth="1"/>
    <col min="8455" max="8455" width="1.140625" style="1282" customWidth="1"/>
    <col min="8456" max="8692" width="6.85546875" style="1282" customWidth="1"/>
    <col min="8693" max="8693" width="8" style="1282"/>
    <col min="8694" max="8694" width="1.140625" style="1282" customWidth="1"/>
    <col min="8695" max="8695" width="8" style="1282"/>
    <col min="8696" max="8696" width="1.140625" style="1282" customWidth="1"/>
    <col min="8697" max="8697" width="1.7109375" style="1282" customWidth="1"/>
    <col min="8698" max="8698" width="7.42578125" style="1282" customWidth="1"/>
    <col min="8699" max="8699" width="1.7109375" style="1282" customWidth="1"/>
    <col min="8700" max="8700" width="5.7109375" style="1282" customWidth="1"/>
    <col min="8701" max="8701" width="1.140625" style="1282" customWidth="1"/>
    <col min="8702" max="8702" width="5.140625" style="1282" customWidth="1"/>
    <col min="8703" max="8703" width="1.140625" style="1282" customWidth="1"/>
    <col min="8704" max="8704" width="9.7109375" style="1282" customWidth="1"/>
    <col min="8705" max="8706" width="1.140625" style="1282" customWidth="1"/>
    <col min="8707" max="8707" width="14.85546875" style="1282" customWidth="1"/>
    <col min="8708" max="8708" width="2.28515625" style="1282" customWidth="1"/>
    <col min="8709" max="8709" width="16.5703125" style="1282" customWidth="1"/>
    <col min="8710" max="8710" width="16" style="1282" customWidth="1"/>
    <col min="8711" max="8711" width="1.140625" style="1282" customWidth="1"/>
    <col min="8712" max="8948" width="6.85546875" style="1282" customWidth="1"/>
    <col min="8949" max="8949" width="8" style="1282"/>
    <col min="8950" max="8950" width="1.140625" style="1282" customWidth="1"/>
    <col min="8951" max="8951" width="8" style="1282"/>
    <col min="8952" max="8952" width="1.140625" style="1282" customWidth="1"/>
    <col min="8953" max="8953" width="1.7109375" style="1282" customWidth="1"/>
    <col min="8954" max="8954" width="7.42578125" style="1282" customWidth="1"/>
    <col min="8955" max="8955" width="1.7109375" style="1282" customWidth="1"/>
    <col min="8956" max="8956" width="5.7109375" style="1282" customWidth="1"/>
    <col min="8957" max="8957" width="1.140625" style="1282" customWidth="1"/>
    <col min="8958" max="8958" width="5.140625" style="1282" customWidth="1"/>
    <col min="8959" max="8959" width="1.140625" style="1282" customWidth="1"/>
    <col min="8960" max="8960" width="9.7109375" style="1282" customWidth="1"/>
    <col min="8961" max="8962" width="1.140625" style="1282" customWidth="1"/>
    <col min="8963" max="8963" width="14.85546875" style="1282" customWidth="1"/>
    <col min="8964" max="8964" width="2.28515625" style="1282" customWidth="1"/>
    <col min="8965" max="8965" width="16.5703125" style="1282" customWidth="1"/>
    <col min="8966" max="8966" width="16" style="1282" customWidth="1"/>
    <col min="8967" max="8967" width="1.140625" style="1282" customWidth="1"/>
    <col min="8968" max="9204" width="6.85546875" style="1282" customWidth="1"/>
    <col min="9205" max="9205" width="8" style="1282"/>
    <col min="9206" max="9206" width="1.140625" style="1282" customWidth="1"/>
    <col min="9207" max="9207" width="8" style="1282"/>
    <col min="9208" max="9208" width="1.140625" style="1282" customWidth="1"/>
    <col min="9209" max="9209" width="1.7109375" style="1282" customWidth="1"/>
    <col min="9210" max="9210" width="7.42578125" style="1282" customWidth="1"/>
    <col min="9211" max="9211" width="1.7109375" style="1282" customWidth="1"/>
    <col min="9212" max="9212" width="5.7109375" style="1282" customWidth="1"/>
    <col min="9213" max="9213" width="1.140625" style="1282" customWidth="1"/>
    <col min="9214" max="9214" width="5.140625" style="1282" customWidth="1"/>
    <col min="9215" max="9215" width="1.140625" style="1282" customWidth="1"/>
    <col min="9216" max="9216" width="9.7109375" style="1282" customWidth="1"/>
    <col min="9217" max="9218" width="1.140625" style="1282" customWidth="1"/>
    <col min="9219" max="9219" width="14.85546875" style="1282" customWidth="1"/>
    <col min="9220" max="9220" width="2.28515625" style="1282" customWidth="1"/>
    <col min="9221" max="9221" width="16.5703125" style="1282" customWidth="1"/>
    <col min="9222" max="9222" width="16" style="1282" customWidth="1"/>
    <col min="9223" max="9223" width="1.140625" style="1282" customWidth="1"/>
    <col min="9224" max="9460" width="6.85546875" style="1282" customWidth="1"/>
    <col min="9461" max="9461" width="8" style="1282"/>
    <col min="9462" max="9462" width="1.140625" style="1282" customWidth="1"/>
    <col min="9463" max="9463" width="8" style="1282"/>
    <col min="9464" max="9464" width="1.140625" style="1282" customWidth="1"/>
    <col min="9465" max="9465" width="1.7109375" style="1282" customWidth="1"/>
    <col min="9466" max="9466" width="7.42578125" style="1282" customWidth="1"/>
    <col min="9467" max="9467" width="1.7109375" style="1282" customWidth="1"/>
    <col min="9468" max="9468" width="5.7109375" style="1282" customWidth="1"/>
    <col min="9469" max="9469" width="1.140625" style="1282" customWidth="1"/>
    <col min="9470" max="9470" width="5.140625" style="1282" customWidth="1"/>
    <col min="9471" max="9471" width="1.140625" style="1282" customWidth="1"/>
    <col min="9472" max="9472" width="9.7109375" style="1282" customWidth="1"/>
    <col min="9473" max="9474" width="1.140625" style="1282" customWidth="1"/>
    <col min="9475" max="9475" width="14.85546875" style="1282" customWidth="1"/>
    <col min="9476" max="9476" width="2.28515625" style="1282" customWidth="1"/>
    <col min="9477" max="9477" width="16.5703125" style="1282" customWidth="1"/>
    <col min="9478" max="9478" width="16" style="1282" customWidth="1"/>
    <col min="9479" max="9479" width="1.140625" style="1282" customWidth="1"/>
    <col min="9480" max="9716" width="6.85546875" style="1282" customWidth="1"/>
    <col min="9717" max="9717" width="8" style="1282"/>
    <col min="9718" max="9718" width="1.140625" style="1282" customWidth="1"/>
    <col min="9719" max="9719" width="8" style="1282"/>
    <col min="9720" max="9720" width="1.140625" style="1282" customWidth="1"/>
    <col min="9721" max="9721" width="1.7109375" style="1282" customWidth="1"/>
    <col min="9722" max="9722" width="7.42578125" style="1282" customWidth="1"/>
    <col min="9723" max="9723" width="1.7109375" style="1282" customWidth="1"/>
    <col min="9724" max="9724" width="5.7109375" style="1282" customWidth="1"/>
    <col min="9725" max="9725" width="1.140625" style="1282" customWidth="1"/>
    <col min="9726" max="9726" width="5.140625" style="1282" customWidth="1"/>
    <col min="9727" max="9727" width="1.140625" style="1282" customWidth="1"/>
    <col min="9728" max="9728" width="9.7109375" style="1282" customWidth="1"/>
    <col min="9729" max="9730" width="1.140625" style="1282" customWidth="1"/>
    <col min="9731" max="9731" width="14.85546875" style="1282" customWidth="1"/>
    <col min="9732" max="9732" width="2.28515625" style="1282" customWidth="1"/>
    <col min="9733" max="9733" width="16.5703125" style="1282" customWidth="1"/>
    <col min="9734" max="9734" width="16" style="1282" customWidth="1"/>
    <col min="9735" max="9735" width="1.140625" style="1282" customWidth="1"/>
    <col min="9736" max="9972" width="6.85546875" style="1282" customWidth="1"/>
    <col min="9973" max="9973" width="8" style="1282"/>
    <col min="9974" max="9974" width="1.140625" style="1282" customWidth="1"/>
    <col min="9975" max="9975" width="8" style="1282"/>
    <col min="9976" max="9976" width="1.140625" style="1282" customWidth="1"/>
    <col min="9977" max="9977" width="1.7109375" style="1282" customWidth="1"/>
    <col min="9978" max="9978" width="7.42578125" style="1282" customWidth="1"/>
    <col min="9979" max="9979" width="1.7109375" style="1282" customWidth="1"/>
    <col min="9980" max="9980" width="5.7109375" style="1282" customWidth="1"/>
    <col min="9981" max="9981" width="1.140625" style="1282" customWidth="1"/>
    <col min="9982" max="9982" width="5.140625" style="1282" customWidth="1"/>
    <col min="9983" max="9983" width="1.140625" style="1282" customWidth="1"/>
    <col min="9984" max="9984" width="9.7109375" style="1282" customWidth="1"/>
    <col min="9985" max="9986" width="1.140625" style="1282" customWidth="1"/>
    <col min="9987" max="9987" width="14.85546875" style="1282" customWidth="1"/>
    <col min="9988" max="9988" width="2.28515625" style="1282" customWidth="1"/>
    <col min="9989" max="9989" width="16.5703125" style="1282" customWidth="1"/>
    <col min="9990" max="9990" width="16" style="1282" customWidth="1"/>
    <col min="9991" max="9991" width="1.140625" style="1282" customWidth="1"/>
    <col min="9992" max="10228" width="6.85546875" style="1282" customWidth="1"/>
    <col min="10229" max="10229" width="8" style="1282"/>
    <col min="10230" max="10230" width="1.140625" style="1282" customWidth="1"/>
    <col min="10231" max="10231" width="8" style="1282"/>
    <col min="10232" max="10232" width="1.140625" style="1282" customWidth="1"/>
    <col min="10233" max="10233" width="1.7109375" style="1282" customWidth="1"/>
    <col min="10234" max="10234" width="7.42578125" style="1282" customWidth="1"/>
    <col min="10235" max="10235" width="1.7109375" style="1282" customWidth="1"/>
    <col min="10236" max="10236" width="5.7109375" style="1282" customWidth="1"/>
    <col min="10237" max="10237" width="1.140625" style="1282" customWidth="1"/>
    <col min="10238" max="10238" width="5.140625" style="1282" customWidth="1"/>
    <col min="10239" max="10239" width="1.140625" style="1282" customWidth="1"/>
    <col min="10240" max="10240" width="9.7109375" style="1282" customWidth="1"/>
    <col min="10241" max="10242" width="1.140625" style="1282" customWidth="1"/>
    <col min="10243" max="10243" width="14.85546875" style="1282" customWidth="1"/>
    <col min="10244" max="10244" width="2.28515625" style="1282" customWidth="1"/>
    <col min="10245" max="10245" width="16.5703125" style="1282" customWidth="1"/>
    <col min="10246" max="10246" width="16" style="1282" customWidth="1"/>
    <col min="10247" max="10247" width="1.140625" style="1282" customWidth="1"/>
    <col min="10248" max="10484" width="6.85546875" style="1282" customWidth="1"/>
    <col min="10485" max="10485" width="8" style="1282"/>
    <col min="10486" max="10486" width="1.140625" style="1282" customWidth="1"/>
    <col min="10487" max="10487" width="8" style="1282"/>
    <col min="10488" max="10488" width="1.140625" style="1282" customWidth="1"/>
    <col min="10489" max="10489" width="1.7109375" style="1282" customWidth="1"/>
    <col min="10490" max="10490" width="7.42578125" style="1282" customWidth="1"/>
    <col min="10491" max="10491" width="1.7109375" style="1282" customWidth="1"/>
    <col min="10492" max="10492" width="5.7109375" style="1282" customWidth="1"/>
    <col min="10493" max="10493" width="1.140625" style="1282" customWidth="1"/>
    <col min="10494" max="10494" width="5.140625" style="1282" customWidth="1"/>
    <col min="10495" max="10495" width="1.140625" style="1282" customWidth="1"/>
    <col min="10496" max="10496" width="9.7109375" style="1282" customWidth="1"/>
    <col min="10497" max="10498" width="1.140625" style="1282" customWidth="1"/>
    <col min="10499" max="10499" width="14.85546875" style="1282" customWidth="1"/>
    <col min="10500" max="10500" width="2.28515625" style="1282" customWidth="1"/>
    <col min="10501" max="10501" width="16.5703125" style="1282" customWidth="1"/>
    <col min="10502" max="10502" width="16" style="1282" customWidth="1"/>
    <col min="10503" max="10503" width="1.140625" style="1282" customWidth="1"/>
    <col min="10504" max="10740" width="6.85546875" style="1282" customWidth="1"/>
    <col min="10741" max="10741" width="8" style="1282"/>
    <col min="10742" max="10742" width="1.140625" style="1282" customWidth="1"/>
    <col min="10743" max="10743" width="8" style="1282"/>
    <col min="10744" max="10744" width="1.140625" style="1282" customWidth="1"/>
    <col min="10745" max="10745" width="1.7109375" style="1282" customWidth="1"/>
    <col min="10746" max="10746" width="7.42578125" style="1282" customWidth="1"/>
    <col min="10747" max="10747" width="1.7109375" style="1282" customWidth="1"/>
    <col min="10748" max="10748" width="5.7109375" style="1282" customWidth="1"/>
    <col min="10749" max="10749" width="1.140625" style="1282" customWidth="1"/>
    <col min="10750" max="10750" width="5.140625" style="1282" customWidth="1"/>
    <col min="10751" max="10751" width="1.140625" style="1282" customWidth="1"/>
    <col min="10752" max="10752" width="9.7109375" style="1282" customWidth="1"/>
    <col min="10753" max="10754" width="1.140625" style="1282" customWidth="1"/>
    <col min="10755" max="10755" width="14.85546875" style="1282" customWidth="1"/>
    <col min="10756" max="10756" width="2.28515625" style="1282" customWidth="1"/>
    <col min="10757" max="10757" width="16.5703125" style="1282" customWidth="1"/>
    <col min="10758" max="10758" width="16" style="1282" customWidth="1"/>
    <col min="10759" max="10759" width="1.140625" style="1282" customWidth="1"/>
    <col min="10760" max="10996" width="6.85546875" style="1282" customWidth="1"/>
    <col min="10997" max="10997" width="8" style="1282"/>
    <col min="10998" max="10998" width="1.140625" style="1282" customWidth="1"/>
    <col min="10999" max="10999" width="8" style="1282"/>
    <col min="11000" max="11000" width="1.140625" style="1282" customWidth="1"/>
    <col min="11001" max="11001" width="1.7109375" style="1282" customWidth="1"/>
    <col min="11002" max="11002" width="7.42578125" style="1282" customWidth="1"/>
    <col min="11003" max="11003" width="1.7109375" style="1282" customWidth="1"/>
    <col min="11004" max="11004" width="5.7109375" style="1282" customWidth="1"/>
    <col min="11005" max="11005" width="1.140625" style="1282" customWidth="1"/>
    <col min="11006" max="11006" width="5.140625" style="1282" customWidth="1"/>
    <col min="11007" max="11007" width="1.140625" style="1282" customWidth="1"/>
    <col min="11008" max="11008" width="9.7109375" style="1282" customWidth="1"/>
    <col min="11009" max="11010" width="1.140625" style="1282" customWidth="1"/>
    <col min="11011" max="11011" width="14.85546875" style="1282" customWidth="1"/>
    <col min="11012" max="11012" width="2.28515625" style="1282" customWidth="1"/>
    <col min="11013" max="11013" width="16.5703125" style="1282" customWidth="1"/>
    <col min="11014" max="11014" width="16" style="1282" customWidth="1"/>
    <col min="11015" max="11015" width="1.140625" style="1282" customWidth="1"/>
    <col min="11016" max="11252" width="6.85546875" style="1282" customWidth="1"/>
    <col min="11253" max="11253" width="8" style="1282"/>
    <col min="11254" max="11254" width="1.140625" style="1282" customWidth="1"/>
    <col min="11255" max="11255" width="8" style="1282"/>
    <col min="11256" max="11256" width="1.140625" style="1282" customWidth="1"/>
    <col min="11257" max="11257" width="1.7109375" style="1282" customWidth="1"/>
    <col min="11258" max="11258" width="7.42578125" style="1282" customWidth="1"/>
    <col min="11259" max="11259" width="1.7109375" style="1282" customWidth="1"/>
    <col min="11260" max="11260" width="5.7109375" style="1282" customWidth="1"/>
    <col min="11261" max="11261" width="1.140625" style="1282" customWidth="1"/>
    <col min="11262" max="11262" width="5.140625" style="1282" customWidth="1"/>
    <col min="11263" max="11263" width="1.140625" style="1282" customWidth="1"/>
    <col min="11264" max="11264" width="9.7109375" style="1282" customWidth="1"/>
    <col min="11265" max="11266" width="1.140625" style="1282" customWidth="1"/>
    <col min="11267" max="11267" width="14.85546875" style="1282" customWidth="1"/>
    <col min="11268" max="11268" width="2.28515625" style="1282" customWidth="1"/>
    <col min="11269" max="11269" width="16.5703125" style="1282" customWidth="1"/>
    <col min="11270" max="11270" width="16" style="1282" customWidth="1"/>
    <col min="11271" max="11271" width="1.140625" style="1282" customWidth="1"/>
    <col min="11272" max="11508" width="6.85546875" style="1282" customWidth="1"/>
    <col min="11509" max="11509" width="8" style="1282"/>
    <col min="11510" max="11510" width="1.140625" style="1282" customWidth="1"/>
    <col min="11511" max="11511" width="8" style="1282"/>
    <col min="11512" max="11512" width="1.140625" style="1282" customWidth="1"/>
    <col min="11513" max="11513" width="1.7109375" style="1282" customWidth="1"/>
    <col min="11514" max="11514" width="7.42578125" style="1282" customWidth="1"/>
    <col min="11515" max="11515" width="1.7109375" style="1282" customWidth="1"/>
    <col min="11516" max="11516" width="5.7109375" style="1282" customWidth="1"/>
    <col min="11517" max="11517" width="1.140625" style="1282" customWidth="1"/>
    <col min="11518" max="11518" width="5.140625" style="1282" customWidth="1"/>
    <col min="11519" max="11519" width="1.140625" style="1282" customWidth="1"/>
    <col min="11520" max="11520" width="9.7109375" style="1282" customWidth="1"/>
    <col min="11521" max="11522" width="1.140625" style="1282" customWidth="1"/>
    <col min="11523" max="11523" width="14.85546875" style="1282" customWidth="1"/>
    <col min="11524" max="11524" width="2.28515625" style="1282" customWidth="1"/>
    <col min="11525" max="11525" width="16.5703125" style="1282" customWidth="1"/>
    <col min="11526" max="11526" width="16" style="1282" customWidth="1"/>
    <col min="11527" max="11527" width="1.140625" style="1282" customWidth="1"/>
    <col min="11528" max="11764" width="6.85546875" style="1282" customWidth="1"/>
    <col min="11765" max="11765" width="8" style="1282"/>
    <col min="11766" max="11766" width="1.140625" style="1282" customWidth="1"/>
    <col min="11767" max="11767" width="8" style="1282"/>
    <col min="11768" max="11768" width="1.140625" style="1282" customWidth="1"/>
    <col min="11769" max="11769" width="1.7109375" style="1282" customWidth="1"/>
    <col min="11770" max="11770" width="7.42578125" style="1282" customWidth="1"/>
    <col min="11771" max="11771" width="1.7109375" style="1282" customWidth="1"/>
    <col min="11772" max="11772" width="5.7109375" style="1282" customWidth="1"/>
    <col min="11773" max="11773" width="1.140625" style="1282" customWidth="1"/>
    <col min="11774" max="11774" width="5.140625" style="1282" customWidth="1"/>
    <col min="11775" max="11775" width="1.140625" style="1282" customWidth="1"/>
    <col min="11776" max="11776" width="9.7109375" style="1282" customWidth="1"/>
    <col min="11777" max="11778" width="1.140625" style="1282" customWidth="1"/>
    <col min="11779" max="11779" width="14.85546875" style="1282" customWidth="1"/>
    <col min="11780" max="11780" width="2.28515625" style="1282" customWidth="1"/>
    <col min="11781" max="11781" width="16.5703125" style="1282" customWidth="1"/>
    <col min="11782" max="11782" width="16" style="1282" customWidth="1"/>
    <col min="11783" max="11783" width="1.140625" style="1282" customWidth="1"/>
    <col min="11784" max="12020" width="6.85546875" style="1282" customWidth="1"/>
    <col min="12021" max="12021" width="8" style="1282"/>
    <col min="12022" max="12022" width="1.140625" style="1282" customWidth="1"/>
    <col min="12023" max="12023" width="8" style="1282"/>
    <col min="12024" max="12024" width="1.140625" style="1282" customWidth="1"/>
    <col min="12025" max="12025" width="1.7109375" style="1282" customWidth="1"/>
    <col min="12026" max="12026" width="7.42578125" style="1282" customWidth="1"/>
    <col min="12027" max="12027" width="1.7109375" style="1282" customWidth="1"/>
    <col min="12028" max="12028" width="5.7109375" style="1282" customWidth="1"/>
    <col min="12029" max="12029" width="1.140625" style="1282" customWidth="1"/>
    <col min="12030" max="12030" width="5.140625" style="1282" customWidth="1"/>
    <col min="12031" max="12031" width="1.140625" style="1282" customWidth="1"/>
    <col min="12032" max="12032" width="9.7109375" style="1282" customWidth="1"/>
    <col min="12033" max="12034" width="1.140625" style="1282" customWidth="1"/>
    <col min="12035" max="12035" width="14.85546875" style="1282" customWidth="1"/>
    <col min="12036" max="12036" width="2.28515625" style="1282" customWidth="1"/>
    <col min="12037" max="12037" width="16.5703125" style="1282" customWidth="1"/>
    <col min="12038" max="12038" width="16" style="1282" customWidth="1"/>
    <col min="12039" max="12039" width="1.140625" style="1282" customWidth="1"/>
    <col min="12040" max="12276" width="6.85546875" style="1282" customWidth="1"/>
    <col min="12277" max="12277" width="8" style="1282"/>
    <col min="12278" max="12278" width="1.140625" style="1282" customWidth="1"/>
    <col min="12279" max="12279" width="8" style="1282"/>
    <col min="12280" max="12280" width="1.140625" style="1282" customWidth="1"/>
    <col min="12281" max="12281" width="1.7109375" style="1282" customWidth="1"/>
    <col min="12282" max="12282" width="7.42578125" style="1282" customWidth="1"/>
    <col min="12283" max="12283" width="1.7109375" style="1282" customWidth="1"/>
    <col min="12284" max="12284" width="5.7109375" style="1282" customWidth="1"/>
    <col min="12285" max="12285" width="1.140625" style="1282" customWidth="1"/>
    <col min="12286" max="12286" width="5.140625" style="1282" customWidth="1"/>
    <col min="12287" max="12287" width="1.140625" style="1282" customWidth="1"/>
    <col min="12288" max="12288" width="9.7109375" style="1282" customWidth="1"/>
    <col min="12289" max="12290" width="1.140625" style="1282" customWidth="1"/>
    <col min="12291" max="12291" width="14.85546875" style="1282" customWidth="1"/>
    <col min="12292" max="12292" width="2.28515625" style="1282" customWidth="1"/>
    <col min="12293" max="12293" width="16.5703125" style="1282" customWidth="1"/>
    <col min="12294" max="12294" width="16" style="1282" customWidth="1"/>
    <col min="12295" max="12295" width="1.140625" style="1282" customWidth="1"/>
    <col min="12296" max="12532" width="6.85546875" style="1282" customWidth="1"/>
    <col min="12533" max="12533" width="8" style="1282"/>
    <col min="12534" max="12534" width="1.140625" style="1282" customWidth="1"/>
    <col min="12535" max="12535" width="8" style="1282"/>
    <col min="12536" max="12536" width="1.140625" style="1282" customWidth="1"/>
    <col min="12537" max="12537" width="1.7109375" style="1282" customWidth="1"/>
    <col min="12538" max="12538" width="7.42578125" style="1282" customWidth="1"/>
    <col min="12539" max="12539" width="1.7109375" style="1282" customWidth="1"/>
    <col min="12540" max="12540" width="5.7109375" style="1282" customWidth="1"/>
    <col min="12541" max="12541" width="1.140625" style="1282" customWidth="1"/>
    <col min="12542" max="12542" width="5.140625" style="1282" customWidth="1"/>
    <col min="12543" max="12543" width="1.140625" style="1282" customWidth="1"/>
    <col min="12544" max="12544" width="9.7109375" style="1282" customWidth="1"/>
    <col min="12545" max="12546" width="1.140625" style="1282" customWidth="1"/>
    <col min="12547" max="12547" width="14.85546875" style="1282" customWidth="1"/>
    <col min="12548" max="12548" width="2.28515625" style="1282" customWidth="1"/>
    <col min="12549" max="12549" width="16.5703125" style="1282" customWidth="1"/>
    <col min="12550" max="12550" width="16" style="1282" customWidth="1"/>
    <col min="12551" max="12551" width="1.140625" style="1282" customWidth="1"/>
    <col min="12552" max="12788" width="6.85546875" style="1282" customWidth="1"/>
    <col min="12789" max="12789" width="8" style="1282"/>
    <col min="12790" max="12790" width="1.140625" style="1282" customWidth="1"/>
    <col min="12791" max="12791" width="8" style="1282"/>
    <col min="12792" max="12792" width="1.140625" style="1282" customWidth="1"/>
    <col min="12793" max="12793" width="1.7109375" style="1282" customWidth="1"/>
    <col min="12794" max="12794" width="7.42578125" style="1282" customWidth="1"/>
    <col min="12795" max="12795" width="1.7109375" style="1282" customWidth="1"/>
    <col min="12796" max="12796" width="5.7109375" style="1282" customWidth="1"/>
    <col min="12797" max="12797" width="1.140625" style="1282" customWidth="1"/>
    <col min="12798" max="12798" width="5.140625" style="1282" customWidth="1"/>
    <col min="12799" max="12799" width="1.140625" style="1282" customWidth="1"/>
    <col min="12800" max="12800" width="9.7109375" style="1282" customWidth="1"/>
    <col min="12801" max="12802" width="1.140625" style="1282" customWidth="1"/>
    <col min="12803" max="12803" width="14.85546875" style="1282" customWidth="1"/>
    <col min="12804" max="12804" width="2.28515625" style="1282" customWidth="1"/>
    <col min="12805" max="12805" width="16.5703125" style="1282" customWidth="1"/>
    <col min="12806" max="12806" width="16" style="1282" customWidth="1"/>
    <col min="12807" max="12807" width="1.140625" style="1282" customWidth="1"/>
    <col min="12808" max="13044" width="6.85546875" style="1282" customWidth="1"/>
    <col min="13045" max="13045" width="8" style="1282"/>
    <col min="13046" max="13046" width="1.140625" style="1282" customWidth="1"/>
    <col min="13047" max="13047" width="8" style="1282"/>
    <col min="13048" max="13048" width="1.140625" style="1282" customWidth="1"/>
    <col min="13049" max="13049" width="1.7109375" style="1282" customWidth="1"/>
    <col min="13050" max="13050" width="7.42578125" style="1282" customWidth="1"/>
    <col min="13051" max="13051" width="1.7109375" style="1282" customWidth="1"/>
    <col min="13052" max="13052" width="5.7109375" style="1282" customWidth="1"/>
    <col min="13053" max="13053" width="1.140625" style="1282" customWidth="1"/>
    <col min="13054" max="13054" width="5.140625" style="1282" customWidth="1"/>
    <col min="13055" max="13055" width="1.140625" style="1282" customWidth="1"/>
    <col min="13056" max="13056" width="9.7109375" style="1282" customWidth="1"/>
    <col min="13057" max="13058" width="1.140625" style="1282" customWidth="1"/>
    <col min="13059" max="13059" width="14.85546875" style="1282" customWidth="1"/>
    <col min="13060" max="13060" width="2.28515625" style="1282" customWidth="1"/>
    <col min="13061" max="13061" width="16.5703125" style="1282" customWidth="1"/>
    <col min="13062" max="13062" width="16" style="1282" customWidth="1"/>
    <col min="13063" max="13063" width="1.140625" style="1282" customWidth="1"/>
    <col min="13064" max="13300" width="6.85546875" style="1282" customWidth="1"/>
    <col min="13301" max="13301" width="8" style="1282"/>
    <col min="13302" max="13302" width="1.140625" style="1282" customWidth="1"/>
    <col min="13303" max="13303" width="8" style="1282"/>
    <col min="13304" max="13304" width="1.140625" style="1282" customWidth="1"/>
    <col min="13305" max="13305" width="1.7109375" style="1282" customWidth="1"/>
    <col min="13306" max="13306" width="7.42578125" style="1282" customWidth="1"/>
    <col min="13307" max="13307" width="1.7109375" style="1282" customWidth="1"/>
    <col min="13308" max="13308" width="5.7109375" style="1282" customWidth="1"/>
    <col min="13309" max="13309" width="1.140625" style="1282" customWidth="1"/>
    <col min="13310" max="13310" width="5.140625" style="1282" customWidth="1"/>
    <col min="13311" max="13311" width="1.140625" style="1282" customWidth="1"/>
    <col min="13312" max="13312" width="9.7109375" style="1282" customWidth="1"/>
    <col min="13313" max="13314" width="1.140625" style="1282" customWidth="1"/>
    <col min="13315" max="13315" width="14.85546875" style="1282" customWidth="1"/>
    <col min="13316" max="13316" width="2.28515625" style="1282" customWidth="1"/>
    <col min="13317" max="13317" width="16.5703125" style="1282" customWidth="1"/>
    <col min="13318" max="13318" width="16" style="1282" customWidth="1"/>
    <col min="13319" max="13319" width="1.140625" style="1282" customWidth="1"/>
    <col min="13320" max="13556" width="6.85546875" style="1282" customWidth="1"/>
    <col min="13557" max="13557" width="8" style="1282"/>
    <col min="13558" max="13558" width="1.140625" style="1282" customWidth="1"/>
    <col min="13559" max="13559" width="8" style="1282"/>
    <col min="13560" max="13560" width="1.140625" style="1282" customWidth="1"/>
    <col min="13561" max="13561" width="1.7109375" style="1282" customWidth="1"/>
    <col min="13562" max="13562" width="7.42578125" style="1282" customWidth="1"/>
    <col min="13563" max="13563" width="1.7109375" style="1282" customWidth="1"/>
    <col min="13564" max="13564" width="5.7109375" style="1282" customWidth="1"/>
    <col min="13565" max="13565" width="1.140625" style="1282" customWidth="1"/>
    <col min="13566" max="13566" width="5.140625" style="1282" customWidth="1"/>
    <col min="13567" max="13567" width="1.140625" style="1282" customWidth="1"/>
    <col min="13568" max="13568" width="9.7109375" style="1282" customWidth="1"/>
    <col min="13569" max="13570" width="1.140625" style="1282" customWidth="1"/>
    <col min="13571" max="13571" width="14.85546875" style="1282" customWidth="1"/>
    <col min="13572" max="13572" width="2.28515625" style="1282" customWidth="1"/>
    <col min="13573" max="13573" width="16.5703125" style="1282" customWidth="1"/>
    <col min="13574" max="13574" width="16" style="1282" customWidth="1"/>
    <col min="13575" max="13575" width="1.140625" style="1282" customWidth="1"/>
    <col min="13576" max="13812" width="6.85546875" style="1282" customWidth="1"/>
    <col min="13813" max="13813" width="8" style="1282"/>
    <col min="13814" max="13814" width="1.140625" style="1282" customWidth="1"/>
    <col min="13815" max="13815" width="8" style="1282"/>
    <col min="13816" max="13816" width="1.140625" style="1282" customWidth="1"/>
    <col min="13817" max="13817" width="1.7109375" style="1282" customWidth="1"/>
    <col min="13818" max="13818" width="7.42578125" style="1282" customWidth="1"/>
    <col min="13819" max="13819" width="1.7109375" style="1282" customWidth="1"/>
    <col min="13820" max="13820" width="5.7109375" style="1282" customWidth="1"/>
    <col min="13821" max="13821" width="1.140625" style="1282" customWidth="1"/>
    <col min="13822" max="13822" width="5.140625" style="1282" customWidth="1"/>
    <col min="13823" max="13823" width="1.140625" style="1282" customWidth="1"/>
    <col min="13824" max="13824" width="9.7109375" style="1282" customWidth="1"/>
    <col min="13825" max="13826" width="1.140625" style="1282" customWidth="1"/>
    <col min="13827" max="13827" width="14.85546875" style="1282" customWidth="1"/>
    <col min="13828" max="13828" width="2.28515625" style="1282" customWidth="1"/>
    <col min="13829" max="13829" width="16.5703125" style="1282" customWidth="1"/>
    <col min="13830" max="13830" width="16" style="1282" customWidth="1"/>
    <col min="13831" max="13831" width="1.140625" style="1282" customWidth="1"/>
    <col min="13832" max="14068" width="6.85546875" style="1282" customWidth="1"/>
    <col min="14069" max="14069" width="8" style="1282"/>
    <col min="14070" max="14070" width="1.140625" style="1282" customWidth="1"/>
    <col min="14071" max="14071" width="8" style="1282"/>
    <col min="14072" max="14072" width="1.140625" style="1282" customWidth="1"/>
    <col min="14073" max="14073" width="1.7109375" style="1282" customWidth="1"/>
    <col min="14074" max="14074" width="7.42578125" style="1282" customWidth="1"/>
    <col min="14075" max="14075" width="1.7109375" style="1282" customWidth="1"/>
    <col min="14076" max="14076" width="5.7109375" style="1282" customWidth="1"/>
    <col min="14077" max="14077" width="1.140625" style="1282" customWidth="1"/>
    <col min="14078" max="14078" width="5.140625" style="1282" customWidth="1"/>
    <col min="14079" max="14079" width="1.140625" style="1282" customWidth="1"/>
    <col min="14080" max="14080" width="9.7109375" style="1282" customWidth="1"/>
    <col min="14081" max="14082" width="1.140625" style="1282" customWidth="1"/>
    <col min="14083" max="14083" width="14.85546875" style="1282" customWidth="1"/>
    <col min="14084" max="14084" width="2.28515625" style="1282" customWidth="1"/>
    <col min="14085" max="14085" width="16.5703125" style="1282" customWidth="1"/>
    <col min="14086" max="14086" width="16" style="1282" customWidth="1"/>
    <col min="14087" max="14087" width="1.140625" style="1282" customWidth="1"/>
    <col min="14088" max="14324" width="6.85546875" style="1282" customWidth="1"/>
    <col min="14325" max="14325" width="8" style="1282"/>
    <col min="14326" max="14326" width="1.140625" style="1282" customWidth="1"/>
    <col min="14327" max="14327" width="8" style="1282"/>
    <col min="14328" max="14328" width="1.140625" style="1282" customWidth="1"/>
    <col min="14329" max="14329" width="1.7109375" style="1282" customWidth="1"/>
    <col min="14330" max="14330" width="7.42578125" style="1282" customWidth="1"/>
    <col min="14331" max="14331" width="1.7109375" style="1282" customWidth="1"/>
    <col min="14332" max="14332" width="5.7109375" style="1282" customWidth="1"/>
    <col min="14333" max="14333" width="1.140625" style="1282" customWidth="1"/>
    <col min="14334" max="14334" width="5.140625" style="1282" customWidth="1"/>
    <col min="14335" max="14335" width="1.140625" style="1282" customWidth="1"/>
    <col min="14336" max="14336" width="9.7109375" style="1282" customWidth="1"/>
    <col min="14337" max="14338" width="1.140625" style="1282" customWidth="1"/>
    <col min="14339" max="14339" width="14.85546875" style="1282" customWidth="1"/>
    <col min="14340" max="14340" width="2.28515625" style="1282" customWidth="1"/>
    <col min="14341" max="14341" width="16.5703125" style="1282" customWidth="1"/>
    <col min="14342" max="14342" width="16" style="1282" customWidth="1"/>
    <col min="14343" max="14343" width="1.140625" style="1282" customWidth="1"/>
    <col min="14344" max="14580" width="6.85546875" style="1282" customWidth="1"/>
    <col min="14581" max="14581" width="8" style="1282"/>
    <col min="14582" max="14582" width="1.140625" style="1282" customWidth="1"/>
    <col min="14583" max="14583" width="8" style="1282"/>
    <col min="14584" max="14584" width="1.140625" style="1282" customWidth="1"/>
    <col min="14585" max="14585" width="1.7109375" style="1282" customWidth="1"/>
    <col min="14586" max="14586" width="7.42578125" style="1282" customWidth="1"/>
    <col min="14587" max="14587" width="1.7109375" style="1282" customWidth="1"/>
    <col min="14588" max="14588" width="5.7109375" style="1282" customWidth="1"/>
    <col min="14589" max="14589" width="1.140625" style="1282" customWidth="1"/>
    <col min="14590" max="14590" width="5.140625" style="1282" customWidth="1"/>
    <col min="14591" max="14591" width="1.140625" style="1282" customWidth="1"/>
    <col min="14592" max="14592" width="9.7109375" style="1282" customWidth="1"/>
    <col min="14593" max="14594" width="1.140625" style="1282" customWidth="1"/>
    <col min="14595" max="14595" width="14.85546875" style="1282" customWidth="1"/>
    <col min="14596" max="14596" width="2.28515625" style="1282" customWidth="1"/>
    <col min="14597" max="14597" width="16.5703125" style="1282" customWidth="1"/>
    <col min="14598" max="14598" width="16" style="1282" customWidth="1"/>
    <col min="14599" max="14599" width="1.140625" style="1282" customWidth="1"/>
    <col min="14600" max="14836" width="6.85546875" style="1282" customWidth="1"/>
    <col min="14837" max="14837" width="8" style="1282"/>
    <col min="14838" max="14838" width="1.140625" style="1282" customWidth="1"/>
    <col min="14839" max="14839" width="8" style="1282"/>
    <col min="14840" max="14840" width="1.140625" style="1282" customWidth="1"/>
    <col min="14841" max="14841" width="1.7109375" style="1282" customWidth="1"/>
    <col min="14842" max="14842" width="7.42578125" style="1282" customWidth="1"/>
    <col min="14843" max="14843" width="1.7109375" style="1282" customWidth="1"/>
    <col min="14844" max="14844" width="5.7109375" style="1282" customWidth="1"/>
    <col min="14845" max="14845" width="1.140625" style="1282" customWidth="1"/>
    <col min="14846" max="14846" width="5.140625" style="1282" customWidth="1"/>
    <col min="14847" max="14847" width="1.140625" style="1282" customWidth="1"/>
    <col min="14848" max="14848" width="9.7109375" style="1282" customWidth="1"/>
    <col min="14849" max="14850" width="1.140625" style="1282" customWidth="1"/>
    <col min="14851" max="14851" width="14.85546875" style="1282" customWidth="1"/>
    <col min="14852" max="14852" width="2.28515625" style="1282" customWidth="1"/>
    <col min="14853" max="14853" width="16.5703125" style="1282" customWidth="1"/>
    <col min="14854" max="14854" width="16" style="1282" customWidth="1"/>
    <col min="14855" max="14855" width="1.140625" style="1282" customWidth="1"/>
    <col min="14856" max="15092" width="6.85546875" style="1282" customWidth="1"/>
    <col min="15093" max="15093" width="8" style="1282"/>
    <col min="15094" max="15094" width="1.140625" style="1282" customWidth="1"/>
    <col min="15095" max="15095" width="8" style="1282"/>
    <col min="15096" max="15096" width="1.140625" style="1282" customWidth="1"/>
    <col min="15097" max="15097" width="1.7109375" style="1282" customWidth="1"/>
    <col min="15098" max="15098" width="7.42578125" style="1282" customWidth="1"/>
    <col min="15099" max="15099" width="1.7109375" style="1282" customWidth="1"/>
    <col min="15100" max="15100" width="5.7109375" style="1282" customWidth="1"/>
    <col min="15101" max="15101" width="1.140625" style="1282" customWidth="1"/>
    <col min="15102" max="15102" width="5.140625" style="1282" customWidth="1"/>
    <col min="15103" max="15103" width="1.140625" style="1282" customWidth="1"/>
    <col min="15104" max="15104" width="9.7109375" style="1282" customWidth="1"/>
    <col min="15105" max="15106" width="1.140625" style="1282" customWidth="1"/>
    <col min="15107" max="15107" width="14.85546875" style="1282" customWidth="1"/>
    <col min="15108" max="15108" width="2.28515625" style="1282" customWidth="1"/>
    <col min="15109" max="15109" width="16.5703125" style="1282" customWidth="1"/>
    <col min="15110" max="15110" width="16" style="1282" customWidth="1"/>
    <col min="15111" max="15111" width="1.140625" style="1282" customWidth="1"/>
    <col min="15112" max="15348" width="6.85546875" style="1282" customWidth="1"/>
    <col min="15349" max="15349" width="8" style="1282"/>
    <col min="15350" max="15350" width="1.140625" style="1282" customWidth="1"/>
    <col min="15351" max="15351" width="8" style="1282"/>
    <col min="15352" max="15352" width="1.140625" style="1282" customWidth="1"/>
    <col min="15353" max="15353" width="1.7109375" style="1282" customWidth="1"/>
    <col min="15354" max="15354" width="7.42578125" style="1282" customWidth="1"/>
    <col min="15355" max="15355" width="1.7109375" style="1282" customWidth="1"/>
    <col min="15356" max="15356" width="5.7109375" style="1282" customWidth="1"/>
    <col min="15357" max="15357" width="1.140625" style="1282" customWidth="1"/>
    <col min="15358" max="15358" width="5.140625" style="1282" customWidth="1"/>
    <col min="15359" max="15359" width="1.140625" style="1282" customWidth="1"/>
    <col min="15360" max="15360" width="9.7109375" style="1282" customWidth="1"/>
    <col min="15361" max="15362" width="1.140625" style="1282" customWidth="1"/>
    <col min="15363" max="15363" width="14.85546875" style="1282" customWidth="1"/>
    <col min="15364" max="15364" width="2.28515625" style="1282" customWidth="1"/>
    <col min="15365" max="15365" width="16.5703125" style="1282" customWidth="1"/>
    <col min="15366" max="15366" width="16" style="1282" customWidth="1"/>
    <col min="15367" max="15367" width="1.140625" style="1282" customWidth="1"/>
    <col min="15368" max="15604" width="6.85546875" style="1282" customWidth="1"/>
    <col min="15605" max="15605" width="8" style="1282"/>
    <col min="15606" max="15606" width="1.140625" style="1282" customWidth="1"/>
    <col min="15607" max="15607" width="8" style="1282"/>
    <col min="15608" max="15608" width="1.140625" style="1282" customWidth="1"/>
    <col min="15609" max="15609" width="1.7109375" style="1282" customWidth="1"/>
    <col min="15610" max="15610" width="7.42578125" style="1282" customWidth="1"/>
    <col min="15611" max="15611" width="1.7109375" style="1282" customWidth="1"/>
    <col min="15612" max="15612" width="5.7109375" style="1282" customWidth="1"/>
    <col min="15613" max="15613" width="1.140625" style="1282" customWidth="1"/>
    <col min="15614" max="15614" width="5.140625" style="1282" customWidth="1"/>
    <col min="15615" max="15615" width="1.140625" style="1282" customWidth="1"/>
    <col min="15616" max="15616" width="9.7109375" style="1282" customWidth="1"/>
    <col min="15617" max="15618" width="1.140625" style="1282" customWidth="1"/>
    <col min="15619" max="15619" width="14.85546875" style="1282" customWidth="1"/>
    <col min="15620" max="15620" width="2.28515625" style="1282" customWidth="1"/>
    <col min="15621" max="15621" width="16.5703125" style="1282" customWidth="1"/>
    <col min="15622" max="15622" width="16" style="1282" customWidth="1"/>
    <col min="15623" max="15623" width="1.140625" style="1282" customWidth="1"/>
    <col min="15624" max="15860" width="6.85546875" style="1282" customWidth="1"/>
    <col min="15861" max="15861" width="8" style="1282"/>
    <col min="15862" max="15862" width="1.140625" style="1282" customWidth="1"/>
    <col min="15863" max="15863" width="8" style="1282"/>
    <col min="15864" max="15864" width="1.140625" style="1282" customWidth="1"/>
    <col min="15865" max="15865" width="1.7109375" style="1282" customWidth="1"/>
    <col min="15866" max="15866" width="7.42578125" style="1282" customWidth="1"/>
    <col min="15867" max="15867" width="1.7109375" style="1282" customWidth="1"/>
    <col min="15868" max="15868" width="5.7109375" style="1282" customWidth="1"/>
    <col min="15869" max="15869" width="1.140625" style="1282" customWidth="1"/>
    <col min="15870" max="15870" width="5.140625" style="1282" customWidth="1"/>
    <col min="15871" max="15871" width="1.140625" style="1282" customWidth="1"/>
    <col min="15872" max="15872" width="9.7109375" style="1282" customWidth="1"/>
    <col min="15873" max="15874" width="1.140625" style="1282" customWidth="1"/>
    <col min="15875" max="15875" width="14.85546875" style="1282" customWidth="1"/>
    <col min="15876" max="15876" width="2.28515625" style="1282" customWidth="1"/>
    <col min="15877" max="15877" width="16.5703125" style="1282" customWidth="1"/>
    <col min="15878" max="15878" width="16" style="1282" customWidth="1"/>
    <col min="15879" max="15879" width="1.140625" style="1282" customWidth="1"/>
    <col min="15880" max="16116" width="6.85546875" style="1282" customWidth="1"/>
    <col min="16117" max="16117" width="8" style="1282"/>
    <col min="16118" max="16118" width="1.140625" style="1282" customWidth="1"/>
    <col min="16119" max="16119" width="8" style="1282"/>
    <col min="16120" max="16120" width="1.140625" style="1282" customWidth="1"/>
    <col min="16121" max="16121" width="1.7109375" style="1282" customWidth="1"/>
    <col min="16122" max="16122" width="7.42578125" style="1282" customWidth="1"/>
    <col min="16123" max="16123" width="1.7109375" style="1282" customWidth="1"/>
    <col min="16124" max="16124" width="5.7109375" style="1282" customWidth="1"/>
    <col min="16125" max="16125" width="1.140625" style="1282" customWidth="1"/>
    <col min="16126" max="16126" width="5.140625" style="1282" customWidth="1"/>
    <col min="16127" max="16127" width="1.140625" style="1282" customWidth="1"/>
    <col min="16128" max="16128" width="9.7109375" style="1282" customWidth="1"/>
    <col min="16129" max="16130" width="1.140625" style="1282" customWidth="1"/>
    <col min="16131" max="16131" width="14.85546875" style="1282" customWidth="1"/>
    <col min="16132" max="16132" width="2.28515625" style="1282" customWidth="1"/>
    <col min="16133" max="16133" width="16.5703125" style="1282" customWidth="1"/>
    <col min="16134" max="16134" width="16" style="1282" customWidth="1"/>
    <col min="16135" max="16135" width="1.140625" style="1282" customWidth="1"/>
    <col min="16136" max="16384" width="6.85546875" style="1282" customWidth="1"/>
  </cols>
  <sheetData>
    <row r="1" spans="2:7">
      <c r="C1" s="1284"/>
      <c r="D1" s="1284"/>
      <c r="E1" s="1284"/>
      <c r="F1" s="1284"/>
      <c r="G1" s="1284"/>
    </row>
    <row r="2" spans="2:7" ht="12">
      <c r="B2" s="1976" t="s">
        <v>0</v>
      </c>
      <c r="C2" s="1976"/>
      <c r="D2" s="1976"/>
      <c r="E2" s="1976"/>
      <c r="F2" s="1976"/>
      <c r="G2" s="1284"/>
    </row>
    <row r="3" spans="2:7" ht="12">
      <c r="B3" s="1976" t="s">
        <v>198</v>
      </c>
      <c r="C3" s="1976"/>
      <c r="D3" s="1976"/>
      <c r="E3" s="1976"/>
      <c r="F3" s="1976"/>
      <c r="G3" s="1285"/>
    </row>
    <row r="4" spans="2:7" ht="12">
      <c r="B4" s="1976" t="s">
        <v>199</v>
      </c>
      <c r="C4" s="1976"/>
      <c r="D4" s="1976"/>
      <c r="E4" s="1976"/>
      <c r="F4" s="1976"/>
    </row>
    <row r="5" spans="2:7" ht="12">
      <c r="B5" s="1286"/>
      <c r="C5" s="1287"/>
      <c r="D5" s="1287"/>
      <c r="E5" s="1287"/>
      <c r="F5" s="459" t="s">
        <v>3</v>
      </c>
    </row>
    <row r="6" spans="2:7" s="1280" customFormat="1">
      <c r="B6" s="1980" t="s">
        <v>113</v>
      </c>
      <c r="C6" s="1980" t="s">
        <v>200</v>
      </c>
      <c r="D6" s="1980" t="s">
        <v>201</v>
      </c>
      <c r="E6" s="1980" t="s">
        <v>114</v>
      </c>
      <c r="F6" s="1980" t="s">
        <v>202</v>
      </c>
      <c r="G6" s="1288"/>
    </row>
    <row r="7" spans="2:7" s="1280" customFormat="1">
      <c r="B7" s="1981"/>
      <c r="C7" s="1981"/>
      <c r="D7" s="1981"/>
      <c r="E7" s="1981"/>
      <c r="F7" s="1981"/>
    </row>
    <row r="8" spans="2:7" s="1280" customFormat="1">
      <c r="B8" s="1289">
        <v>43109</v>
      </c>
      <c r="C8" s="1290" t="s">
        <v>203</v>
      </c>
      <c r="D8" s="1290" t="s">
        <v>204</v>
      </c>
      <c r="E8" s="1291" t="s">
        <v>205</v>
      </c>
      <c r="F8" s="1292">
        <v>3250000</v>
      </c>
    </row>
    <row r="9" spans="2:7" s="1280" customFormat="1" ht="22.5">
      <c r="B9" s="1289">
        <v>43132</v>
      </c>
      <c r="C9" s="1291" t="s">
        <v>206</v>
      </c>
      <c r="D9" s="1291" t="s">
        <v>207</v>
      </c>
      <c r="E9" s="1291" t="s">
        <v>208</v>
      </c>
      <c r="F9" s="1292">
        <v>825000</v>
      </c>
    </row>
    <row r="10" spans="2:7" s="1280" customFormat="1">
      <c r="B10" s="1289">
        <v>43139</v>
      </c>
      <c r="C10" s="1291" t="s">
        <v>209</v>
      </c>
      <c r="D10" s="1291" t="s">
        <v>207</v>
      </c>
      <c r="E10" s="1291" t="s">
        <v>210</v>
      </c>
      <c r="F10" s="1292">
        <v>1350200</v>
      </c>
    </row>
    <row r="11" spans="2:7" s="1280" customFormat="1">
      <c r="B11" s="1289">
        <v>43166</v>
      </c>
      <c r="C11" s="1291" t="s">
        <v>211</v>
      </c>
      <c r="D11" s="1290" t="s">
        <v>204</v>
      </c>
      <c r="E11" s="1291" t="s">
        <v>212</v>
      </c>
      <c r="F11" s="1292">
        <v>700000</v>
      </c>
    </row>
    <row r="12" spans="2:7" s="1280" customFormat="1" ht="22.5">
      <c r="B12" s="1289">
        <v>43187</v>
      </c>
      <c r="C12" s="1290" t="s">
        <v>213</v>
      </c>
      <c r="D12" s="1290" t="s">
        <v>204</v>
      </c>
      <c r="E12" s="1291" t="s">
        <v>214</v>
      </c>
      <c r="F12" s="1292">
        <v>811636</v>
      </c>
    </row>
    <row r="13" spans="2:7" s="1280" customFormat="1" ht="22.5">
      <c r="B13" s="1293"/>
      <c r="C13" s="1290" t="s">
        <v>215</v>
      </c>
      <c r="D13" s="1290" t="s">
        <v>204</v>
      </c>
      <c r="E13" s="1291" t="s">
        <v>214</v>
      </c>
      <c r="F13" s="1292">
        <v>434520</v>
      </c>
    </row>
    <row r="14" spans="2:7" s="1280" customFormat="1">
      <c r="B14" s="1289">
        <v>43206</v>
      </c>
      <c r="C14" s="1290"/>
      <c r="D14" s="1290" t="s">
        <v>204</v>
      </c>
      <c r="E14" s="1291" t="s">
        <v>216</v>
      </c>
      <c r="F14" s="1292">
        <v>1260000</v>
      </c>
    </row>
    <row r="15" spans="2:7" s="1280" customFormat="1" ht="22.5">
      <c r="B15" s="1289">
        <v>43207</v>
      </c>
      <c r="C15" s="1290" t="s">
        <v>217</v>
      </c>
      <c r="D15" s="1290" t="s">
        <v>204</v>
      </c>
      <c r="E15" s="1291" t="s">
        <v>218</v>
      </c>
      <c r="F15" s="1292">
        <v>750000</v>
      </c>
    </row>
    <row r="16" spans="2:7" s="1280" customFormat="1" ht="22.5">
      <c r="B16" s="1289">
        <v>43214</v>
      </c>
      <c r="C16" s="1291" t="s">
        <v>219</v>
      </c>
      <c r="D16" s="1291" t="s">
        <v>207</v>
      </c>
      <c r="E16" s="1290" t="s">
        <v>220</v>
      </c>
      <c r="F16" s="1292">
        <v>200000</v>
      </c>
    </row>
    <row r="17" spans="2:6" s="1280" customFormat="1" ht="22.5">
      <c r="B17" s="1293"/>
      <c r="C17" s="1291" t="s">
        <v>221</v>
      </c>
      <c r="D17" s="1291" t="s">
        <v>207</v>
      </c>
      <c r="E17" s="1290" t="s">
        <v>222</v>
      </c>
      <c r="F17" s="1292">
        <v>200000</v>
      </c>
    </row>
    <row r="18" spans="2:6" s="1280" customFormat="1" ht="22.5">
      <c r="B18" s="1289">
        <v>43224</v>
      </c>
      <c r="C18" s="1290" t="s">
        <v>223</v>
      </c>
      <c r="D18" s="1290" t="s">
        <v>204</v>
      </c>
      <c r="E18" s="1291" t="s">
        <v>224</v>
      </c>
      <c r="F18" s="1292">
        <v>280000</v>
      </c>
    </row>
    <row r="19" spans="2:6" s="1280" customFormat="1" ht="22.5">
      <c r="B19" s="1289">
        <v>43229</v>
      </c>
      <c r="C19" s="1290" t="s">
        <v>225</v>
      </c>
      <c r="D19" s="1290" t="s">
        <v>204</v>
      </c>
      <c r="E19" s="1291" t="s">
        <v>226</v>
      </c>
      <c r="F19" s="1292">
        <v>280000</v>
      </c>
    </row>
    <row r="20" spans="2:6" s="1280" customFormat="1">
      <c r="B20" s="1293"/>
      <c r="C20" s="1291" t="s">
        <v>227</v>
      </c>
      <c r="D20" s="1291" t="s">
        <v>207</v>
      </c>
      <c r="E20" s="1291" t="s">
        <v>228</v>
      </c>
      <c r="F20" s="1292">
        <v>4804600</v>
      </c>
    </row>
    <row r="21" spans="2:6" s="1280" customFormat="1">
      <c r="B21" s="1293"/>
      <c r="C21" s="1291" t="s">
        <v>229</v>
      </c>
      <c r="D21" s="1290" t="s">
        <v>204</v>
      </c>
      <c r="E21" s="1290" t="s">
        <v>230</v>
      </c>
      <c r="F21" s="1292">
        <v>980000</v>
      </c>
    </row>
    <row r="22" spans="2:6" s="1280" customFormat="1">
      <c r="B22" s="1293"/>
      <c r="C22" s="1291" t="s">
        <v>231</v>
      </c>
      <c r="D22" s="1291" t="s">
        <v>207</v>
      </c>
      <c r="E22" s="1291" t="s">
        <v>232</v>
      </c>
      <c r="F22" s="1292">
        <v>341000</v>
      </c>
    </row>
    <row r="23" spans="2:6" s="1280" customFormat="1">
      <c r="B23" s="1289">
        <v>43236</v>
      </c>
      <c r="C23" s="1290" t="s">
        <v>233</v>
      </c>
      <c r="D23" s="1291" t="s">
        <v>207</v>
      </c>
      <c r="E23" s="1291" t="s">
        <v>234</v>
      </c>
      <c r="F23" s="1292">
        <v>340000</v>
      </c>
    </row>
    <row r="24" spans="2:6" s="1280" customFormat="1">
      <c r="B24" s="1289">
        <v>43248</v>
      </c>
      <c r="C24" s="1290" t="s">
        <v>235</v>
      </c>
      <c r="D24" s="1290" t="s">
        <v>204</v>
      </c>
      <c r="E24" s="1290" t="s">
        <v>236</v>
      </c>
      <c r="F24" s="1292">
        <v>540000</v>
      </c>
    </row>
    <row r="25" spans="2:6" s="1280" customFormat="1">
      <c r="B25" s="1293"/>
      <c r="C25" s="1290" t="s">
        <v>237</v>
      </c>
      <c r="D25" s="1290" t="s">
        <v>204</v>
      </c>
      <c r="E25" s="1291" t="s">
        <v>238</v>
      </c>
      <c r="F25" s="1292">
        <v>750000</v>
      </c>
    </row>
    <row r="26" spans="2:6" s="1280" customFormat="1" ht="33.75">
      <c r="B26" s="1289">
        <v>43250</v>
      </c>
      <c r="C26" s="1291" t="s">
        <v>239</v>
      </c>
      <c r="D26" s="1291" t="s">
        <v>207</v>
      </c>
      <c r="E26" s="1291" t="s">
        <v>240</v>
      </c>
      <c r="F26" s="1292">
        <v>280000</v>
      </c>
    </row>
    <row r="27" spans="2:6" s="1280" customFormat="1" ht="22.5">
      <c r="B27" s="1293"/>
      <c r="C27" s="1291" t="s">
        <v>241</v>
      </c>
      <c r="D27" s="1291" t="s">
        <v>207</v>
      </c>
      <c r="E27" s="1290" t="s">
        <v>242</v>
      </c>
      <c r="F27" s="1292">
        <v>540000</v>
      </c>
    </row>
    <row r="28" spans="2:6" s="1280" customFormat="1">
      <c r="B28" s="1289">
        <v>43251</v>
      </c>
      <c r="C28" s="1290" t="s">
        <v>243</v>
      </c>
      <c r="D28" s="1290" t="s">
        <v>204</v>
      </c>
      <c r="E28" s="1290" t="s">
        <v>244</v>
      </c>
      <c r="F28" s="1292">
        <v>540000</v>
      </c>
    </row>
    <row r="29" spans="2:6" s="1280" customFormat="1">
      <c r="B29" s="1289">
        <v>43256</v>
      </c>
      <c r="C29" s="1291" t="s">
        <v>245</v>
      </c>
      <c r="D29" s="1290" t="s">
        <v>204</v>
      </c>
      <c r="E29" s="1291" t="s">
        <v>246</v>
      </c>
      <c r="F29" s="1292">
        <v>540000</v>
      </c>
    </row>
    <row r="30" spans="2:6" s="1280" customFormat="1" ht="22.5">
      <c r="B30" s="1289">
        <v>43257</v>
      </c>
      <c r="C30" s="1291" t="s">
        <v>247</v>
      </c>
      <c r="D30" s="1291" t="s">
        <v>207</v>
      </c>
      <c r="E30" s="1291" t="s">
        <v>248</v>
      </c>
      <c r="F30" s="1292">
        <v>49200</v>
      </c>
    </row>
    <row r="31" spans="2:6" s="1280" customFormat="1">
      <c r="B31" s="1289">
        <v>43276</v>
      </c>
      <c r="C31" s="1290" t="s">
        <v>249</v>
      </c>
      <c r="D31" s="1290" t="s">
        <v>204</v>
      </c>
      <c r="E31" s="1291" t="s">
        <v>250</v>
      </c>
      <c r="F31" s="1292">
        <v>3488400</v>
      </c>
    </row>
    <row r="32" spans="2:6" s="1280" customFormat="1">
      <c r="B32" s="1293"/>
      <c r="C32" s="1290" t="s">
        <v>251</v>
      </c>
      <c r="D32" s="1290" t="s">
        <v>204</v>
      </c>
      <c r="E32" s="1291" t="s">
        <v>252</v>
      </c>
      <c r="F32" s="1292">
        <v>3488400</v>
      </c>
    </row>
    <row r="33" spans="2:6" s="1280" customFormat="1">
      <c r="B33" s="1289">
        <v>43285</v>
      </c>
      <c r="C33" s="1291" t="s">
        <v>253</v>
      </c>
      <c r="D33" s="1291" t="s">
        <v>207</v>
      </c>
      <c r="E33" s="1290" t="s">
        <v>254</v>
      </c>
      <c r="F33" s="1292">
        <v>787500</v>
      </c>
    </row>
    <row r="34" spans="2:6" s="1280" customFormat="1">
      <c r="B34" s="1289">
        <v>43286</v>
      </c>
      <c r="C34" s="1291" t="s">
        <v>255</v>
      </c>
      <c r="D34" s="1291" t="s">
        <v>207</v>
      </c>
      <c r="E34" s="1291" t="s">
        <v>256</v>
      </c>
      <c r="F34" s="1292">
        <v>1775000</v>
      </c>
    </row>
    <row r="35" spans="2:6" s="1280" customFormat="1" ht="22.5">
      <c r="B35" s="1293"/>
      <c r="C35" s="1291" t="s">
        <v>257</v>
      </c>
      <c r="D35" s="1291" t="s">
        <v>207</v>
      </c>
      <c r="E35" s="1291" t="s">
        <v>258</v>
      </c>
      <c r="F35" s="1292">
        <v>35000</v>
      </c>
    </row>
    <row r="36" spans="2:6" s="1280" customFormat="1">
      <c r="B36" s="1293"/>
      <c r="C36" s="1290" t="s">
        <v>259</v>
      </c>
      <c r="D36" s="1290" t="s">
        <v>204</v>
      </c>
      <c r="E36" s="1291" t="s">
        <v>260</v>
      </c>
      <c r="F36" s="1292">
        <v>3026200</v>
      </c>
    </row>
    <row r="37" spans="2:6" s="1280" customFormat="1">
      <c r="B37" s="1293"/>
      <c r="C37" s="1290" t="s">
        <v>261</v>
      </c>
      <c r="D37" s="1290" t="s">
        <v>204</v>
      </c>
      <c r="E37" s="1290" t="s">
        <v>262</v>
      </c>
      <c r="F37" s="1292">
        <v>5355100</v>
      </c>
    </row>
    <row r="38" spans="2:6" s="1280" customFormat="1">
      <c r="B38" s="1289">
        <v>43290</v>
      </c>
      <c r="C38" s="1290" t="s">
        <v>263</v>
      </c>
      <c r="D38" s="1290" t="s">
        <v>204</v>
      </c>
      <c r="E38" s="1290" t="s">
        <v>264</v>
      </c>
      <c r="F38" s="1292">
        <v>4143750</v>
      </c>
    </row>
    <row r="39" spans="2:6" s="1280" customFormat="1">
      <c r="B39" s="1293"/>
      <c r="C39" s="1290" t="s">
        <v>265</v>
      </c>
      <c r="D39" s="1290" t="s">
        <v>204</v>
      </c>
      <c r="E39" s="1290" t="s">
        <v>264</v>
      </c>
      <c r="F39" s="1292">
        <v>4770285</v>
      </c>
    </row>
    <row r="40" spans="2:6" s="1280" customFormat="1">
      <c r="B40" s="1293"/>
      <c r="C40" s="1290" t="s">
        <v>266</v>
      </c>
      <c r="D40" s="1290" t="s">
        <v>204</v>
      </c>
      <c r="E40" s="1290" t="s">
        <v>264</v>
      </c>
      <c r="F40" s="1292">
        <v>4740450</v>
      </c>
    </row>
    <row r="41" spans="2:6" s="1280" customFormat="1" ht="22.5">
      <c r="B41" s="1289">
        <v>43292</v>
      </c>
      <c r="C41" s="1291" t="s">
        <v>267</v>
      </c>
      <c r="D41" s="1291" t="s">
        <v>207</v>
      </c>
      <c r="E41" s="1290" t="s">
        <v>268</v>
      </c>
      <c r="F41" s="1292">
        <v>16000</v>
      </c>
    </row>
    <row r="42" spans="2:6" s="1280" customFormat="1">
      <c r="B42" s="1289">
        <v>43297</v>
      </c>
      <c r="C42" s="1290" t="s">
        <v>269</v>
      </c>
      <c r="D42" s="1290" t="s">
        <v>204</v>
      </c>
      <c r="E42" s="1290" t="s">
        <v>270</v>
      </c>
      <c r="F42" s="1292">
        <v>1574625</v>
      </c>
    </row>
    <row r="43" spans="2:6" s="1280" customFormat="1">
      <c r="B43" s="1289">
        <v>43299</v>
      </c>
      <c r="C43" s="1291" t="s">
        <v>271</v>
      </c>
      <c r="D43" s="1291" t="s">
        <v>207</v>
      </c>
      <c r="E43" s="1291" t="s">
        <v>272</v>
      </c>
      <c r="F43" s="1292">
        <v>2310000</v>
      </c>
    </row>
    <row r="44" spans="2:6" s="1280" customFormat="1" ht="22.5">
      <c r="B44" s="1289">
        <v>43304</v>
      </c>
      <c r="C44" s="1291" t="s">
        <v>273</v>
      </c>
      <c r="D44" s="1291" t="s">
        <v>207</v>
      </c>
      <c r="E44" s="1291" t="s">
        <v>274</v>
      </c>
      <c r="F44" s="1292">
        <v>401000</v>
      </c>
    </row>
    <row r="45" spans="2:6" s="1280" customFormat="1" ht="22.5">
      <c r="B45" s="1293"/>
      <c r="C45" s="1291" t="s">
        <v>275</v>
      </c>
      <c r="D45" s="1291" t="s">
        <v>207</v>
      </c>
      <c r="E45" s="1291" t="s">
        <v>276</v>
      </c>
      <c r="F45" s="1292">
        <v>800000</v>
      </c>
    </row>
    <row r="46" spans="2:6" s="1280" customFormat="1" ht="22.5">
      <c r="B46" s="1289">
        <v>43307</v>
      </c>
      <c r="C46" s="1290" t="s">
        <v>277</v>
      </c>
      <c r="D46" s="1291" t="s">
        <v>207</v>
      </c>
      <c r="E46" s="1291" t="s">
        <v>278</v>
      </c>
      <c r="F46" s="1292">
        <v>1425000</v>
      </c>
    </row>
    <row r="47" spans="2:6" s="1280" customFormat="1">
      <c r="B47" s="1289">
        <v>43308</v>
      </c>
      <c r="C47" s="1290" t="s">
        <v>279</v>
      </c>
      <c r="D47" s="1290" t="s">
        <v>204</v>
      </c>
      <c r="E47" s="1290" t="s">
        <v>280</v>
      </c>
      <c r="F47" s="1292">
        <v>9500000</v>
      </c>
    </row>
    <row r="48" spans="2:6" s="1280" customFormat="1" ht="22.5">
      <c r="B48" s="1289">
        <v>43311</v>
      </c>
      <c r="C48" s="1290" t="s">
        <v>281</v>
      </c>
      <c r="D48" s="1290" t="s">
        <v>204</v>
      </c>
      <c r="E48" s="1291" t="s">
        <v>282</v>
      </c>
      <c r="F48" s="1292">
        <v>540000</v>
      </c>
    </row>
    <row r="49" spans="2:6" s="1280" customFormat="1">
      <c r="B49" s="1293"/>
      <c r="C49" s="1290" t="s">
        <v>283</v>
      </c>
      <c r="D49" s="1290" t="s">
        <v>204</v>
      </c>
      <c r="E49" s="1291" t="s">
        <v>284</v>
      </c>
      <c r="F49" s="1292">
        <v>980000</v>
      </c>
    </row>
    <row r="50" spans="2:6" s="1280" customFormat="1">
      <c r="B50" s="1289">
        <v>43313</v>
      </c>
      <c r="C50" s="1290" t="s">
        <v>285</v>
      </c>
      <c r="D50" s="1290" t="s">
        <v>204</v>
      </c>
      <c r="E50" s="1291" t="s">
        <v>286</v>
      </c>
      <c r="F50" s="1292">
        <v>162870</v>
      </c>
    </row>
    <row r="51" spans="2:6" s="1280" customFormat="1">
      <c r="B51" s="1293"/>
      <c r="C51" s="1290" t="s">
        <v>287</v>
      </c>
      <c r="D51" s="1290" t="s">
        <v>204</v>
      </c>
      <c r="E51" s="1291" t="s">
        <v>288</v>
      </c>
      <c r="F51" s="1292">
        <v>1320990</v>
      </c>
    </row>
    <row r="52" spans="2:6" s="1280" customFormat="1">
      <c r="B52" s="1289">
        <v>43318</v>
      </c>
      <c r="C52" s="1290" t="s">
        <v>289</v>
      </c>
      <c r="D52" s="1290" t="s">
        <v>204</v>
      </c>
      <c r="E52" s="1290" t="s">
        <v>290</v>
      </c>
      <c r="F52" s="1292">
        <v>2160000</v>
      </c>
    </row>
    <row r="53" spans="2:6" s="1280" customFormat="1">
      <c r="B53" s="1289">
        <v>43320</v>
      </c>
      <c r="C53" s="1291" t="s">
        <v>291</v>
      </c>
      <c r="D53" s="1291" t="s">
        <v>207</v>
      </c>
      <c r="E53" s="1291" t="s">
        <v>292</v>
      </c>
      <c r="F53" s="1292">
        <v>100000</v>
      </c>
    </row>
    <row r="54" spans="2:6" s="1280" customFormat="1">
      <c r="B54" s="1293"/>
      <c r="C54" s="1291" t="s">
        <v>293</v>
      </c>
      <c r="D54" s="1291" t="s">
        <v>207</v>
      </c>
      <c r="E54" s="1291" t="s">
        <v>294</v>
      </c>
      <c r="F54" s="1292">
        <v>100000</v>
      </c>
    </row>
    <row r="55" spans="2:6" s="1280" customFormat="1">
      <c r="B55" s="1289">
        <v>43327</v>
      </c>
      <c r="C55" s="1290" t="s">
        <v>295</v>
      </c>
      <c r="D55" s="1291" t="s">
        <v>207</v>
      </c>
      <c r="E55" s="1291" t="s">
        <v>296</v>
      </c>
      <c r="F55" s="1292">
        <v>1530100</v>
      </c>
    </row>
    <row r="56" spans="2:6" s="1280" customFormat="1" ht="22.5">
      <c r="B56" s="1289">
        <v>43335</v>
      </c>
      <c r="C56" s="1291" t="s">
        <v>297</v>
      </c>
      <c r="D56" s="1291" t="s">
        <v>207</v>
      </c>
      <c r="E56" s="1291" t="s">
        <v>298</v>
      </c>
      <c r="F56" s="1292">
        <v>2475000</v>
      </c>
    </row>
    <row r="57" spans="2:6" s="1280" customFormat="1" ht="22.5">
      <c r="B57" s="1289">
        <v>43341</v>
      </c>
      <c r="C57" s="1290" t="s">
        <v>299</v>
      </c>
      <c r="D57" s="1290" t="s">
        <v>204</v>
      </c>
      <c r="E57" s="1291" t="s">
        <v>300</v>
      </c>
      <c r="F57" s="1292">
        <v>1020000</v>
      </c>
    </row>
    <row r="58" spans="2:6" s="1280" customFormat="1" ht="22.5">
      <c r="B58" s="1289">
        <v>43346</v>
      </c>
      <c r="C58" s="1290" t="s">
        <v>301</v>
      </c>
      <c r="D58" s="1290" t="s">
        <v>204</v>
      </c>
      <c r="E58" s="1291" t="s">
        <v>302</v>
      </c>
      <c r="F58" s="1292">
        <v>13000000</v>
      </c>
    </row>
    <row r="59" spans="2:6" s="1280" customFormat="1" ht="22.5">
      <c r="B59" s="1289">
        <v>43348</v>
      </c>
      <c r="C59" s="1291" t="s">
        <v>303</v>
      </c>
      <c r="D59" s="1290" t="s">
        <v>204</v>
      </c>
      <c r="E59" s="1291" t="s">
        <v>304</v>
      </c>
      <c r="F59" s="1292">
        <v>440000</v>
      </c>
    </row>
    <row r="60" spans="2:6" s="1280" customFormat="1" ht="22.5">
      <c r="B60" s="1293"/>
      <c r="C60" s="1291" t="s">
        <v>305</v>
      </c>
      <c r="D60" s="1291" t="s">
        <v>207</v>
      </c>
      <c r="E60" s="1291" t="s">
        <v>306</v>
      </c>
      <c r="F60" s="1292">
        <v>7037200</v>
      </c>
    </row>
    <row r="61" spans="2:6" s="1280" customFormat="1">
      <c r="B61" s="1294">
        <v>43360</v>
      </c>
      <c r="C61" s="1295" t="s">
        <v>307</v>
      </c>
      <c r="D61" s="1295" t="s">
        <v>207</v>
      </c>
      <c r="E61" s="1295" t="s">
        <v>308</v>
      </c>
      <c r="F61" s="1296">
        <v>1000000</v>
      </c>
    </row>
    <row r="62" spans="2:6" s="1280" customFormat="1" ht="33.75">
      <c r="B62" s="1289">
        <v>43361</v>
      </c>
      <c r="C62" s="1290" t="s">
        <v>309</v>
      </c>
      <c r="D62" s="1291" t="s">
        <v>207</v>
      </c>
      <c r="E62" s="1291" t="s">
        <v>310</v>
      </c>
      <c r="F62" s="1292">
        <v>2980000</v>
      </c>
    </row>
    <row r="63" spans="2:6" s="1280" customFormat="1">
      <c r="B63" s="1289">
        <v>43364</v>
      </c>
      <c r="C63" s="1291" t="s">
        <v>311</v>
      </c>
      <c r="D63" s="1291" t="s">
        <v>207</v>
      </c>
      <c r="E63" s="1291" t="s">
        <v>312</v>
      </c>
      <c r="F63" s="1292">
        <v>105000</v>
      </c>
    </row>
    <row r="64" spans="2:6" s="1280" customFormat="1" ht="22.5">
      <c r="B64" s="1293"/>
      <c r="C64" s="1291" t="s">
        <v>313</v>
      </c>
      <c r="D64" s="1291" t="s">
        <v>207</v>
      </c>
      <c r="E64" s="1291" t="s">
        <v>314</v>
      </c>
      <c r="F64" s="1292">
        <v>250000</v>
      </c>
    </row>
    <row r="65" spans="2:6" s="1280" customFormat="1" ht="22.5">
      <c r="B65" s="1293"/>
      <c r="C65" s="1290" t="s">
        <v>315</v>
      </c>
      <c r="D65" s="1290" t="s">
        <v>204</v>
      </c>
      <c r="E65" s="1291" t="s">
        <v>316</v>
      </c>
      <c r="F65" s="1292">
        <v>1729070</v>
      </c>
    </row>
    <row r="66" spans="2:6" s="1280" customFormat="1" ht="22.5">
      <c r="B66" s="1289">
        <v>43368</v>
      </c>
      <c r="C66" s="1291" t="s">
        <v>317</v>
      </c>
      <c r="D66" s="1291" t="s">
        <v>207</v>
      </c>
      <c r="E66" s="1291" t="s">
        <v>318</v>
      </c>
      <c r="F66" s="1292">
        <v>825000</v>
      </c>
    </row>
    <row r="67" spans="2:6" s="1280" customFormat="1" ht="22.5">
      <c r="B67" s="1293"/>
      <c r="C67" s="1291" t="s">
        <v>319</v>
      </c>
      <c r="D67" s="1291" t="s">
        <v>207</v>
      </c>
      <c r="E67" s="1291" t="s">
        <v>320</v>
      </c>
      <c r="F67" s="1292">
        <v>300000</v>
      </c>
    </row>
    <row r="68" spans="2:6" s="1280" customFormat="1" ht="22.5">
      <c r="B68" s="1293"/>
      <c r="C68" s="1291" t="s">
        <v>321</v>
      </c>
      <c r="D68" s="1291" t="s">
        <v>207</v>
      </c>
      <c r="E68" s="1291" t="s">
        <v>322</v>
      </c>
      <c r="F68" s="1292">
        <v>75000</v>
      </c>
    </row>
    <row r="69" spans="2:6" s="1280" customFormat="1" ht="22.5">
      <c r="B69" s="1293"/>
      <c r="C69" s="1291" t="s">
        <v>323</v>
      </c>
      <c r="D69" s="1291" t="s">
        <v>207</v>
      </c>
      <c r="E69" s="1291" t="s">
        <v>324</v>
      </c>
      <c r="F69" s="1292">
        <v>900000</v>
      </c>
    </row>
    <row r="70" spans="2:6" s="1280" customFormat="1">
      <c r="B70" s="1289">
        <v>43369</v>
      </c>
      <c r="C70" s="1290" t="s">
        <v>325</v>
      </c>
      <c r="D70" s="1291" t="s">
        <v>207</v>
      </c>
      <c r="E70" s="1291" t="s">
        <v>326</v>
      </c>
      <c r="F70" s="1292">
        <v>900000</v>
      </c>
    </row>
    <row r="71" spans="2:6" s="1280" customFormat="1" ht="22.5">
      <c r="B71" s="1289">
        <v>43374</v>
      </c>
      <c r="C71" s="1290" t="s">
        <v>327</v>
      </c>
      <c r="D71" s="1291" t="s">
        <v>207</v>
      </c>
      <c r="E71" s="1291" t="s">
        <v>328</v>
      </c>
      <c r="F71" s="1292">
        <v>1015000</v>
      </c>
    </row>
    <row r="72" spans="2:6" s="1280" customFormat="1">
      <c r="B72" s="1289">
        <v>43375</v>
      </c>
      <c r="C72" s="1291" t="s">
        <v>329</v>
      </c>
      <c r="D72" s="1291" t="s">
        <v>207</v>
      </c>
      <c r="E72" s="1291" t="s">
        <v>330</v>
      </c>
      <c r="F72" s="1292">
        <v>2206000</v>
      </c>
    </row>
    <row r="73" spans="2:6" s="1280" customFormat="1">
      <c r="B73" s="1289">
        <v>43375</v>
      </c>
      <c r="C73" s="1291" t="s">
        <v>331</v>
      </c>
      <c r="D73" s="1291" t="s">
        <v>207</v>
      </c>
      <c r="E73" s="1290" t="s">
        <v>332</v>
      </c>
      <c r="F73" s="1292">
        <v>200000</v>
      </c>
    </row>
    <row r="74" spans="2:6" s="1280" customFormat="1">
      <c r="B74" s="1293"/>
      <c r="C74" s="1291" t="s">
        <v>333</v>
      </c>
      <c r="D74" s="1291" t="s">
        <v>207</v>
      </c>
      <c r="E74" s="1290" t="s">
        <v>334</v>
      </c>
      <c r="F74" s="1292">
        <v>1360000</v>
      </c>
    </row>
    <row r="75" spans="2:6" s="1280" customFormat="1">
      <c r="B75" s="1293"/>
      <c r="C75" s="1291" t="s">
        <v>335</v>
      </c>
      <c r="D75" s="1291" t="s">
        <v>207</v>
      </c>
      <c r="E75" s="1291" t="s">
        <v>336</v>
      </c>
      <c r="F75" s="1292">
        <v>1360000</v>
      </c>
    </row>
    <row r="76" spans="2:6" s="1280" customFormat="1">
      <c r="B76" s="1293"/>
      <c r="C76" s="1291" t="s">
        <v>337</v>
      </c>
      <c r="D76" s="1291" t="s">
        <v>207</v>
      </c>
      <c r="E76" s="1290" t="s">
        <v>338</v>
      </c>
      <c r="F76" s="1292">
        <v>100000</v>
      </c>
    </row>
    <row r="77" spans="2:6" s="1280" customFormat="1" ht="22.5">
      <c r="B77" s="1289">
        <v>43376</v>
      </c>
      <c r="C77" s="1291" t="s">
        <v>339</v>
      </c>
      <c r="D77" s="1291" t="s">
        <v>207</v>
      </c>
      <c r="E77" s="1291" t="s">
        <v>340</v>
      </c>
      <c r="F77" s="1292">
        <v>2700000</v>
      </c>
    </row>
    <row r="78" spans="2:6" s="1280" customFormat="1">
      <c r="B78" s="1289">
        <v>43378</v>
      </c>
      <c r="C78" s="1291" t="s">
        <v>341</v>
      </c>
      <c r="D78" s="1290" t="s">
        <v>204</v>
      </c>
      <c r="E78" s="1291" t="s">
        <v>342</v>
      </c>
      <c r="F78" s="1292">
        <v>6283000</v>
      </c>
    </row>
    <row r="79" spans="2:6" s="1280" customFormat="1">
      <c r="B79" s="1289">
        <v>43381</v>
      </c>
      <c r="C79" s="1291" t="s">
        <v>343</v>
      </c>
      <c r="D79" s="1291" t="s">
        <v>207</v>
      </c>
      <c r="E79" s="1291" t="s">
        <v>344</v>
      </c>
      <c r="F79" s="1292">
        <v>500000</v>
      </c>
    </row>
    <row r="80" spans="2:6" s="1280" customFormat="1" ht="22.5">
      <c r="B80" s="1289">
        <v>43384</v>
      </c>
      <c r="C80" s="1290" t="s">
        <v>345</v>
      </c>
      <c r="D80" s="1291" t="s">
        <v>207</v>
      </c>
      <c r="E80" s="1291" t="s">
        <v>346</v>
      </c>
      <c r="F80" s="1292">
        <v>180000</v>
      </c>
    </row>
    <row r="81" spans="2:6" s="1280" customFormat="1">
      <c r="B81" s="1289">
        <v>43385</v>
      </c>
      <c r="C81" s="1291" t="s">
        <v>347</v>
      </c>
      <c r="D81" s="1291" t="s">
        <v>207</v>
      </c>
      <c r="E81" s="1290" t="s">
        <v>348</v>
      </c>
      <c r="F81" s="1292">
        <v>94200</v>
      </c>
    </row>
    <row r="82" spans="2:6" s="1280" customFormat="1">
      <c r="B82" s="1293"/>
      <c r="C82" s="1291" t="s">
        <v>349</v>
      </c>
      <c r="D82" s="1291" t="s">
        <v>207</v>
      </c>
      <c r="E82" s="1290" t="s">
        <v>350</v>
      </c>
      <c r="F82" s="1292">
        <v>720000</v>
      </c>
    </row>
    <row r="83" spans="2:6" s="1280" customFormat="1" ht="22.5">
      <c r="B83" s="1293"/>
      <c r="C83" s="1291" t="s">
        <v>351</v>
      </c>
      <c r="D83" s="1291" t="s">
        <v>207</v>
      </c>
      <c r="E83" s="1291" t="s">
        <v>352</v>
      </c>
      <c r="F83" s="1292">
        <v>150000</v>
      </c>
    </row>
    <row r="84" spans="2:6" s="1280" customFormat="1" ht="22.5">
      <c r="B84" s="1293"/>
      <c r="C84" s="1291" t="s">
        <v>353</v>
      </c>
      <c r="D84" s="1291" t="s">
        <v>207</v>
      </c>
      <c r="E84" s="1291" t="s">
        <v>354</v>
      </c>
      <c r="F84" s="1292">
        <v>197500</v>
      </c>
    </row>
    <row r="85" spans="2:6" s="1280" customFormat="1" ht="22.5">
      <c r="B85" s="1293"/>
      <c r="C85" s="1291" t="s">
        <v>355</v>
      </c>
      <c r="D85" s="1291" t="s">
        <v>207</v>
      </c>
      <c r="E85" s="1291" t="s">
        <v>356</v>
      </c>
      <c r="F85" s="1292">
        <v>1090909</v>
      </c>
    </row>
    <row r="86" spans="2:6" s="1280" customFormat="1" ht="22.5">
      <c r="B86" s="1289">
        <v>43388</v>
      </c>
      <c r="C86" s="1290" t="s">
        <v>357</v>
      </c>
      <c r="D86" s="1290" t="s">
        <v>204</v>
      </c>
      <c r="E86" s="1291" t="s">
        <v>358</v>
      </c>
      <c r="F86" s="1292">
        <v>8525000</v>
      </c>
    </row>
    <row r="87" spans="2:6" s="1280" customFormat="1" ht="22.5">
      <c r="B87" s="1293"/>
      <c r="C87" s="1291" t="s">
        <v>359</v>
      </c>
      <c r="D87" s="1291" t="s">
        <v>207</v>
      </c>
      <c r="E87" s="1291" t="s">
        <v>360</v>
      </c>
      <c r="F87" s="1292">
        <v>175000</v>
      </c>
    </row>
    <row r="88" spans="2:6" s="1280" customFormat="1" ht="22.5">
      <c r="B88" s="1289">
        <v>43389</v>
      </c>
      <c r="C88" s="1291" t="s">
        <v>361</v>
      </c>
      <c r="D88" s="1291" t="s">
        <v>207</v>
      </c>
      <c r="E88" s="1291" t="s">
        <v>362</v>
      </c>
      <c r="F88" s="1292">
        <v>5250000</v>
      </c>
    </row>
    <row r="89" spans="2:6" s="1280" customFormat="1" ht="22.5">
      <c r="B89" s="1293"/>
      <c r="C89" s="1291" t="s">
        <v>363</v>
      </c>
      <c r="D89" s="1291" t="s">
        <v>207</v>
      </c>
      <c r="E89" s="1291" t="s">
        <v>364</v>
      </c>
      <c r="F89" s="1292">
        <v>14755000</v>
      </c>
    </row>
    <row r="90" spans="2:6" s="1280" customFormat="1">
      <c r="B90" s="1293"/>
      <c r="C90" s="1291" t="s">
        <v>365</v>
      </c>
      <c r="D90" s="1291" t="s">
        <v>207</v>
      </c>
      <c r="E90" s="1290" t="s">
        <v>366</v>
      </c>
      <c r="F90" s="1292">
        <v>1510000</v>
      </c>
    </row>
    <row r="91" spans="2:6" s="1280" customFormat="1">
      <c r="B91" s="1293"/>
      <c r="C91" s="1290" t="s">
        <v>367</v>
      </c>
      <c r="D91" s="1291" t="s">
        <v>207</v>
      </c>
      <c r="E91" s="1291" t="s">
        <v>368</v>
      </c>
      <c r="F91" s="1292">
        <v>630000</v>
      </c>
    </row>
    <row r="92" spans="2:6" s="1280" customFormat="1" ht="22.5">
      <c r="B92" s="1289">
        <v>43391</v>
      </c>
      <c r="C92" s="1291" t="s">
        <v>369</v>
      </c>
      <c r="D92" s="1291" t="s">
        <v>207</v>
      </c>
      <c r="E92" s="1290" t="s">
        <v>370</v>
      </c>
      <c r="F92" s="1292">
        <v>4000000</v>
      </c>
    </row>
    <row r="93" spans="2:6" s="1280" customFormat="1" ht="22.5">
      <c r="B93" s="1293"/>
      <c r="C93" s="1290" t="s">
        <v>367</v>
      </c>
      <c r="D93" s="1290" t="s">
        <v>204</v>
      </c>
      <c r="E93" s="1291" t="s">
        <v>371</v>
      </c>
      <c r="F93" s="1292">
        <v>1242929</v>
      </c>
    </row>
    <row r="94" spans="2:6" s="1280" customFormat="1" ht="22.5">
      <c r="B94" s="1289">
        <v>43392</v>
      </c>
      <c r="C94" s="1290" t="s">
        <v>372</v>
      </c>
      <c r="D94" s="1290" t="s">
        <v>204</v>
      </c>
      <c r="E94" s="1291" t="s">
        <v>373</v>
      </c>
      <c r="F94" s="1292">
        <v>1256262</v>
      </c>
    </row>
    <row r="95" spans="2:6" s="1280" customFormat="1">
      <c r="B95" s="1293"/>
      <c r="C95" s="1291" t="s">
        <v>374</v>
      </c>
      <c r="D95" s="1291" t="s">
        <v>207</v>
      </c>
      <c r="E95" s="1291" t="s">
        <v>375</v>
      </c>
      <c r="F95" s="1292">
        <v>250000</v>
      </c>
    </row>
    <row r="96" spans="2:6" s="1280" customFormat="1">
      <c r="B96" s="1293"/>
      <c r="C96" s="1291" t="s">
        <v>376</v>
      </c>
      <c r="D96" s="1291" t="s">
        <v>207</v>
      </c>
      <c r="E96" s="1291" t="s">
        <v>377</v>
      </c>
      <c r="F96" s="1292">
        <v>1360000</v>
      </c>
    </row>
    <row r="97" spans="2:6" s="1280" customFormat="1">
      <c r="B97" s="1289">
        <v>43411</v>
      </c>
      <c r="C97" s="1291" t="s">
        <v>378</v>
      </c>
      <c r="D97" s="1291" t="s">
        <v>207</v>
      </c>
      <c r="E97" s="1290" t="s">
        <v>379</v>
      </c>
      <c r="F97" s="1292">
        <v>710000</v>
      </c>
    </row>
    <row r="98" spans="2:6" s="1280" customFormat="1" ht="22.5">
      <c r="B98" s="1289">
        <v>43413</v>
      </c>
      <c r="C98" s="1291" t="s">
        <v>380</v>
      </c>
      <c r="D98" s="1291" t="s">
        <v>207</v>
      </c>
      <c r="E98" s="1291" t="s">
        <v>381</v>
      </c>
      <c r="F98" s="1292">
        <v>8395000</v>
      </c>
    </row>
    <row r="99" spans="2:6" s="1280" customFormat="1">
      <c r="B99" s="1293"/>
      <c r="C99" s="1291" t="s">
        <v>382</v>
      </c>
      <c r="D99" s="1291" t="s">
        <v>207</v>
      </c>
      <c r="E99" s="1290" t="s">
        <v>383</v>
      </c>
      <c r="F99" s="1292">
        <v>1260000</v>
      </c>
    </row>
    <row r="100" spans="2:6" s="1280" customFormat="1" ht="33.75">
      <c r="B100" s="1289">
        <v>43419</v>
      </c>
      <c r="C100" s="1291" t="s">
        <v>384</v>
      </c>
      <c r="D100" s="1291" t="s">
        <v>207</v>
      </c>
      <c r="E100" s="1291" t="s">
        <v>385</v>
      </c>
      <c r="F100" s="1292">
        <v>862000</v>
      </c>
    </row>
    <row r="101" spans="2:6" s="1280" customFormat="1" ht="22.5">
      <c r="B101" s="1293"/>
      <c r="C101" s="1291" t="s">
        <v>386</v>
      </c>
      <c r="D101" s="1290" t="s">
        <v>204</v>
      </c>
      <c r="E101" s="1291" t="s">
        <v>387</v>
      </c>
      <c r="F101" s="1292">
        <v>639000</v>
      </c>
    </row>
    <row r="102" spans="2:6" s="1280" customFormat="1">
      <c r="B102" s="1293"/>
      <c r="C102" s="1291" t="s">
        <v>388</v>
      </c>
      <c r="D102" s="1291" t="s">
        <v>207</v>
      </c>
      <c r="E102" s="1291" t="s">
        <v>389</v>
      </c>
      <c r="F102" s="1292">
        <v>2507000</v>
      </c>
    </row>
    <row r="103" spans="2:6" s="1280" customFormat="1" ht="22.5">
      <c r="B103" s="1293"/>
      <c r="C103" s="1291" t="s">
        <v>390</v>
      </c>
      <c r="D103" s="1291" t="s">
        <v>207</v>
      </c>
      <c r="E103" s="1291" t="s">
        <v>391</v>
      </c>
      <c r="F103" s="1292">
        <v>1578500</v>
      </c>
    </row>
    <row r="104" spans="2:6" s="1280" customFormat="1">
      <c r="B104" s="1293"/>
      <c r="C104" s="1291" t="s">
        <v>392</v>
      </c>
      <c r="D104" s="1291" t="s">
        <v>207</v>
      </c>
      <c r="E104" s="1290" t="s">
        <v>393</v>
      </c>
      <c r="F104" s="1292">
        <v>400000</v>
      </c>
    </row>
    <row r="105" spans="2:6" s="1280" customFormat="1">
      <c r="B105" s="1289">
        <v>43430</v>
      </c>
      <c r="C105" s="1290" t="s">
        <v>394</v>
      </c>
      <c r="D105" s="1290" t="s">
        <v>204</v>
      </c>
      <c r="E105" s="1290" t="s">
        <v>395</v>
      </c>
      <c r="F105" s="1292">
        <v>2850000</v>
      </c>
    </row>
    <row r="106" spans="2:6" s="1280" customFormat="1" ht="33.75">
      <c r="B106" s="1289">
        <v>43431</v>
      </c>
      <c r="C106" s="1291" t="s">
        <v>396</v>
      </c>
      <c r="D106" s="1291" t="s">
        <v>207</v>
      </c>
      <c r="E106" s="1291" t="s">
        <v>397</v>
      </c>
      <c r="F106" s="1292">
        <v>608000</v>
      </c>
    </row>
    <row r="107" spans="2:6" s="1280" customFormat="1">
      <c r="B107" s="1289">
        <v>43432</v>
      </c>
      <c r="C107" s="1290" t="s">
        <v>398</v>
      </c>
      <c r="D107" s="1290" t="s">
        <v>204</v>
      </c>
      <c r="E107" s="1291" t="s">
        <v>399</v>
      </c>
      <c r="F107" s="1292">
        <v>5000000</v>
      </c>
    </row>
    <row r="108" spans="2:6" s="1280" customFormat="1">
      <c r="B108" s="1289">
        <v>43433</v>
      </c>
      <c r="C108" s="1291" t="s">
        <v>400</v>
      </c>
      <c r="D108" s="1291" t="s">
        <v>207</v>
      </c>
      <c r="E108" s="1291" t="s">
        <v>375</v>
      </c>
      <c r="F108" s="1292">
        <v>510000</v>
      </c>
    </row>
    <row r="109" spans="2:6" s="1280" customFormat="1">
      <c r="B109" s="1289">
        <v>43434</v>
      </c>
      <c r="C109" s="1291" t="s">
        <v>401</v>
      </c>
      <c r="D109" s="1291" t="s">
        <v>207</v>
      </c>
      <c r="E109" s="1291" t="s">
        <v>402</v>
      </c>
      <c r="F109" s="1292">
        <v>450000</v>
      </c>
    </row>
    <row r="110" spans="2:6" s="1280" customFormat="1">
      <c r="B110" s="1293"/>
      <c r="C110" s="1291" t="s">
        <v>403</v>
      </c>
      <c r="D110" s="1291" t="s">
        <v>207</v>
      </c>
      <c r="E110" s="1291" t="s">
        <v>404</v>
      </c>
      <c r="F110" s="1292">
        <v>3669000</v>
      </c>
    </row>
    <row r="111" spans="2:6" s="1280" customFormat="1" ht="22.5">
      <c r="B111" s="1293"/>
      <c r="C111" s="1291" t="s">
        <v>405</v>
      </c>
      <c r="D111" s="1290" t="s">
        <v>204</v>
      </c>
      <c r="E111" s="1291" t="s">
        <v>406</v>
      </c>
      <c r="F111" s="1292">
        <v>1070000</v>
      </c>
    </row>
    <row r="112" spans="2:6" s="1280" customFormat="1" ht="22.5">
      <c r="B112" s="1293"/>
      <c r="C112" s="1291" t="s">
        <v>407</v>
      </c>
      <c r="D112" s="1290" t="s">
        <v>204</v>
      </c>
      <c r="E112" s="1291" t="s">
        <v>408</v>
      </c>
      <c r="F112" s="1292">
        <v>525000</v>
      </c>
    </row>
    <row r="113" spans="2:6" s="1280" customFormat="1">
      <c r="B113" s="1293"/>
      <c r="C113" s="1290" t="s">
        <v>409</v>
      </c>
      <c r="D113" s="1291" t="s">
        <v>207</v>
      </c>
      <c r="E113" s="1290" t="s">
        <v>410</v>
      </c>
      <c r="F113" s="1292">
        <v>150000</v>
      </c>
    </row>
    <row r="114" spans="2:6" s="1280" customFormat="1">
      <c r="B114" s="1289">
        <v>43438</v>
      </c>
      <c r="C114" s="1291" t="s">
        <v>411</v>
      </c>
      <c r="D114" s="1291" t="s">
        <v>207</v>
      </c>
      <c r="E114" s="1291" t="s">
        <v>412</v>
      </c>
      <c r="F114" s="1292">
        <v>4175046</v>
      </c>
    </row>
    <row r="115" spans="2:6" s="1280" customFormat="1">
      <c r="B115" s="1297"/>
      <c r="C115" s="1295" t="s">
        <v>413</v>
      </c>
      <c r="D115" s="1295" t="s">
        <v>207</v>
      </c>
      <c r="E115" s="1295" t="s">
        <v>414</v>
      </c>
      <c r="F115" s="1296">
        <v>3223500</v>
      </c>
    </row>
    <row r="116" spans="2:6" s="1280" customFormat="1">
      <c r="B116" s="1293"/>
      <c r="C116" s="1291" t="s">
        <v>415</v>
      </c>
      <c r="D116" s="1291" t="s">
        <v>207</v>
      </c>
      <c r="E116" s="1291" t="s">
        <v>416</v>
      </c>
      <c r="F116" s="1292">
        <v>1360000</v>
      </c>
    </row>
    <row r="117" spans="2:6" s="1280" customFormat="1" ht="22.5">
      <c r="B117" s="1289">
        <v>43439</v>
      </c>
      <c r="C117" s="1290" t="s">
        <v>417</v>
      </c>
      <c r="D117" s="1290" t="s">
        <v>204</v>
      </c>
      <c r="E117" s="1291" t="s">
        <v>418</v>
      </c>
      <c r="F117" s="1292">
        <v>425000</v>
      </c>
    </row>
    <row r="118" spans="2:6" s="1280" customFormat="1" ht="22.5">
      <c r="B118" s="1289">
        <v>43440</v>
      </c>
      <c r="C118" s="1290" t="s">
        <v>419</v>
      </c>
      <c r="D118" s="1290" t="s">
        <v>420</v>
      </c>
      <c r="E118" s="1291" t="s">
        <v>421</v>
      </c>
      <c r="F118" s="1292">
        <v>180000</v>
      </c>
    </row>
    <row r="119" spans="2:6" s="1280" customFormat="1" ht="22.5">
      <c r="B119" s="1289">
        <v>43441</v>
      </c>
      <c r="C119" s="1290" t="s">
        <v>422</v>
      </c>
      <c r="D119" s="1291" t="s">
        <v>207</v>
      </c>
      <c r="E119" s="1291" t="s">
        <v>423</v>
      </c>
      <c r="F119" s="1292">
        <v>2400000</v>
      </c>
    </row>
    <row r="120" spans="2:6" s="1280" customFormat="1" ht="22.5">
      <c r="B120" s="1289">
        <v>43445</v>
      </c>
      <c r="C120" s="1291" t="s">
        <v>424</v>
      </c>
      <c r="D120" s="1291" t="s">
        <v>207</v>
      </c>
      <c r="E120" s="1291" t="s">
        <v>425</v>
      </c>
      <c r="F120" s="1292">
        <v>580235</v>
      </c>
    </row>
    <row r="121" spans="2:6" s="1280" customFormat="1" ht="22.5">
      <c r="B121" s="1293"/>
      <c r="C121" s="1290" t="s">
        <v>426</v>
      </c>
      <c r="D121" s="1291" t="s">
        <v>207</v>
      </c>
      <c r="E121" s="1291" t="s">
        <v>427</v>
      </c>
      <c r="F121" s="1292">
        <v>696750</v>
      </c>
    </row>
    <row r="122" spans="2:6" s="1280" customFormat="1" ht="33.75">
      <c r="B122" s="1293"/>
      <c r="C122" s="1290" t="s">
        <v>428</v>
      </c>
      <c r="D122" s="1291" t="s">
        <v>207</v>
      </c>
      <c r="E122" s="1291" t="s">
        <v>429</v>
      </c>
      <c r="F122" s="1292">
        <v>1435000</v>
      </c>
    </row>
    <row r="123" spans="2:6" s="1280" customFormat="1" ht="22.5">
      <c r="B123" s="1293"/>
      <c r="C123" s="1290" t="s">
        <v>430</v>
      </c>
      <c r="D123" s="1291" t="s">
        <v>207</v>
      </c>
      <c r="E123" s="1291" t="s">
        <v>431</v>
      </c>
      <c r="F123" s="1292">
        <v>303000</v>
      </c>
    </row>
    <row r="124" spans="2:6" s="1280" customFormat="1">
      <c r="B124" s="1293"/>
      <c r="C124" s="1291" t="s">
        <v>432</v>
      </c>
      <c r="D124" s="1291" t="s">
        <v>207</v>
      </c>
      <c r="E124" s="1291" t="s">
        <v>433</v>
      </c>
      <c r="F124" s="1292">
        <v>1200000</v>
      </c>
    </row>
    <row r="125" spans="2:6" s="1280" customFormat="1" ht="22.5">
      <c r="B125" s="1289">
        <v>43446</v>
      </c>
      <c r="C125" s="1290" t="s">
        <v>434</v>
      </c>
      <c r="D125" s="1291" t="s">
        <v>207</v>
      </c>
      <c r="E125" s="1291" t="s">
        <v>435</v>
      </c>
      <c r="F125" s="1292">
        <v>78000</v>
      </c>
    </row>
    <row r="126" spans="2:6" s="1280" customFormat="1" ht="22.5">
      <c r="B126" s="1289">
        <v>43448</v>
      </c>
      <c r="C126" s="1291" t="s">
        <v>436</v>
      </c>
      <c r="D126" s="1291" t="s">
        <v>207</v>
      </c>
      <c r="E126" s="1291" t="s">
        <v>437</v>
      </c>
      <c r="F126" s="1292">
        <v>1360000</v>
      </c>
    </row>
    <row r="127" spans="2:6" s="1280" customFormat="1" ht="22.5">
      <c r="B127" s="1293"/>
      <c r="C127" s="1291" t="s">
        <v>438</v>
      </c>
      <c r="D127" s="1291" t="s">
        <v>207</v>
      </c>
      <c r="E127" s="1291" t="s">
        <v>439</v>
      </c>
      <c r="F127" s="1292">
        <v>1360000</v>
      </c>
    </row>
    <row r="128" spans="2:6" s="1280" customFormat="1">
      <c r="B128" s="1293"/>
      <c r="C128" s="1291" t="s">
        <v>440</v>
      </c>
      <c r="D128" s="1290" t="s">
        <v>204</v>
      </c>
      <c r="E128" s="1291" t="s">
        <v>441</v>
      </c>
      <c r="F128" s="1292">
        <v>4250000</v>
      </c>
    </row>
    <row r="129" spans="2:6" s="1280" customFormat="1" ht="22.5">
      <c r="B129" s="1293"/>
      <c r="C129" s="1291" t="s">
        <v>442</v>
      </c>
      <c r="D129" s="1290" t="s">
        <v>204</v>
      </c>
      <c r="E129" s="1291" t="s">
        <v>443</v>
      </c>
      <c r="F129" s="1292">
        <v>612000</v>
      </c>
    </row>
    <row r="130" spans="2:6" s="1280" customFormat="1" ht="22.5">
      <c r="B130" s="1289">
        <v>43451</v>
      </c>
      <c r="C130" s="1291" t="s">
        <v>444</v>
      </c>
      <c r="D130" s="1291" t="s">
        <v>207</v>
      </c>
      <c r="E130" s="1291" t="s">
        <v>445</v>
      </c>
      <c r="F130" s="1292">
        <v>1687200</v>
      </c>
    </row>
    <row r="131" spans="2:6" s="1280" customFormat="1">
      <c r="B131" s="1293"/>
      <c r="C131" s="1290" t="s">
        <v>446</v>
      </c>
      <c r="D131" s="1291" t="s">
        <v>207</v>
      </c>
      <c r="E131" s="1291" t="s">
        <v>447</v>
      </c>
      <c r="F131" s="1292">
        <v>40433250</v>
      </c>
    </row>
    <row r="132" spans="2:6" s="1280" customFormat="1">
      <c r="B132" s="1293"/>
      <c r="C132" s="1290" t="s">
        <v>448</v>
      </c>
      <c r="D132" s="1291" t="s">
        <v>207</v>
      </c>
      <c r="E132" s="1291" t="s">
        <v>449</v>
      </c>
      <c r="F132" s="1292">
        <v>16500000</v>
      </c>
    </row>
    <row r="133" spans="2:6" s="1280" customFormat="1">
      <c r="B133" s="1289">
        <v>43452</v>
      </c>
      <c r="C133" s="1291" t="s">
        <v>450</v>
      </c>
      <c r="D133" s="1291" t="s">
        <v>207</v>
      </c>
      <c r="E133" s="1290" t="s">
        <v>451</v>
      </c>
      <c r="F133" s="1292">
        <v>200000</v>
      </c>
    </row>
    <row r="134" spans="2:6" s="1280" customFormat="1" ht="22.5">
      <c r="B134" s="1293"/>
      <c r="C134" s="1290" t="s">
        <v>452</v>
      </c>
      <c r="D134" s="1290" t="s">
        <v>204</v>
      </c>
      <c r="E134" s="1291" t="s">
        <v>453</v>
      </c>
      <c r="F134" s="1292">
        <v>3664396</v>
      </c>
    </row>
    <row r="135" spans="2:6" s="1280" customFormat="1">
      <c r="B135" s="1293"/>
      <c r="C135" s="1291" t="s">
        <v>454</v>
      </c>
      <c r="D135" s="1291" t="s">
        <v>207</v>
      </c>
      <c r="E135" s="1290" t="s">
        <v>455</v>
      </c>
      <c r="F135" s="1292">
        <v>200000</v>
      </c>
    </row>
    <row r="136" spans="2:6" s="1280" customFormat="1">
      <c r="B136" s="1293"/>
      <c r="C136" s="1291" t="s">
        <v>456</v>
      </c>
      <c r="D136" s="1291" t="s">
        <v>207</v>
      </c>
      <c r="E136" s="1290" t="s">
        <v>455</v>
      </c>
      <c r="F136" s="1292">
        <v>200000</v>
      </c>
    </row>
    <row r="137" spans="2:6" s="1280" customFormat="1">
      <c r="B137" s="1293"/>
      <c r="C137" s="1290" t="s">
        <v>457</v>
      </c>
      <c r="D137" s="1291" t="s">
        <v>207</v>
      </c>
      <c r="E137" s="1290" t="s">
        <v>458</v>
      </c>
      <c r="F137" s="1292">
        <v>100000</v>
      </c>
    </row>
    <row r="138" spans="2:6" s="1280" customFormat="1">
      <c r="B138" s="1293"/>
      <c r="C138" s="1290" t="s">
        <v>459</v>
      </c>
      <c r="D138" s="1291" t="s">
        <v>207</v>
      </c>
      <c r="E138" s="1290" t="s">
        <v>460</v>
      </c>
      <c r="F138" s="1292">
        <v>100000</v>
      </c>
    </row>
    <row r="139" spans="2:6" s="1280" customFormat="1">
      <c r="B139" s="1293"/>
      <c r="C139" s="1290" t="s">
        <v>461</v>
      </c>
      <c r="D139" s="1291" t="s">
        <v>207</v>
      </c>
      <c r="E139" s="1290" t="s">
        <v>462</v>
      </c>
      <c r="F139" s="1292">
        <v>100000</v>
      </c>
    </row>
    <row r="140" spans="2:6" s="1280" customFormat="1">
      <c r="B140" s="1293"/>
      <c r="C140" s="1291" t="s">
        <v>463</v>
      </c>
      <c r="D140" s="1291" t="s">
        <v>207</v>
      </c>
      <c r="E140" s="1290" t="s">
        <v>462</v>
      </c>
      <c r="F140" s="1292">
        <v>100000</v>
      </c>
    </row>
    <row r="141" spans="2:6" s="1280" customFormat="1">
      <c r="B141" s="1293"/>
      <c r="C141" s="1291" t="s">
        <v>464</v>
      </c>
      <c r="D141" s="1291" t="s">
        <v>207</v>
      </c>
      <c r="E141" s="1290" t="s">
        <v>465</v>
      </c>
      <c r="F141" s="1292">
        <v>200000</v>
      </c>
    </row>
    <row r="142" spans="2:6" s="1280" customFormat="1" ht="22.5">
      <c r="B142" s="1289">
        <v>43453</v>
      </c>
      <c r="C142" s="1291" t="s">
        <v>466</v>
      </c>
      <c r="D142" s="1291" t="s">
        <v>207</v>
      </c>
      <c r="E142" s="1291" t="s">
        <v>437</v>
      </c>
      <c r="F142" s="1292">
        <v>860000</v>
      </c>
    </row>
    <row r="143" spans="2:6" s="1280" customFormat="1" ht="22.5">
      <c r="B143" s="1293"/>
      <c r="C143" s="1290" t="s">
        <v>467</v>
      </c>
      <c r="D143" s="1291" t="s">
        <v>207</v>
      </c>
      <c r="E143" s="1291" t="s">
        <v>468</v>
      </c>
      <c r="F143" s="1292">
        <v>7000000</v>
      </c>
    </row>
    <row r="144" spans="2:6" s="1280" customFormat="1" ht="22.5">
      <c r="B144" s="1293"/>
      <c r="C144" s="1291" t="s">
        <v>469</v>
      </c>
      <c r="D144" s="1291" t="s">
        <v>207</v>
      </c>
      <c r="E144" s="1291" t="s">
        <v>437</v>
      </c>
      <c r="F144" s="1292">
        <v>600000</v>
      </c>
    </row>
    <row r="145" spans="2:6" s="1280" customFormat="1" ht="22.5">
      <c r="B145" s="1293"/>
      <c r="C145" s="1290" t="s">
        <v>470</v>
      </c>
      <c r="D145" s="1291" t="s">
        <v>207</v>
      </c>
      <c r="E145" s="1291" t="s">
        <v>471</v>
      </c>
      <c r="F145" s="1292">
        <v>466000</v>
      </c>
    </row>
    <row r="146" spans="2:6" s="1280" customFormat="1" ht="22.5">
      <c r="B146" s="1289">
        <v>43454</v>
      </c>
      <c r="C146" s="1290" t="s">
        <v>472</v>
      </c>
      <c r="D146" s="1291" t="s">
        <v>207</v>
      </c>
      <c r="E146" s="1291" t="s">
        <v>473</v>
      </c>
      <c r="F146" s="1292">
        <v>800000</v>
      </c>
    </row>
    <row r="147" spans="2:6" s="1280" customFormat="1" ht="22.5">
      <c r="B147" s="1289">
        <v>43455</v>
      </c>
      <c r="C147" s="1291" t="s">
        <v>474</v>
      </c>
      <c r="D147" s="1291" t="s">
        <v>207</v>
      </c>
      <c r="E147" s="1291" t="s">
        <v>475</v>
      </c>
      <c r="F147" s="1292">
        <v>4742500</v>
      </c>
    </row>
    <row r="148" spans="2:6" s="1280" customFormat="1" ht="22.5">
      <c r="B148" s="1293"/>
      <c r="C148" s="1291" t="s">
        <v>476</v>
      </c>
      <c r="D148" s="1291" t="s">
        <v>207</v>
      </c>
      <c r="E148" s="1291" t="s">
        <v>477</v>
      </c>
      <c r="F148" s="1292">
        <v>665000</v>
      </c>
    </row>
    <row r="149" spans="2:6" s="1280" customFormat="1" ht="22.5">
      <c r="B149" s="1293"/>
      <c r="C149" s="1291" t="s">
        <v>478</v>
      </c>
      <c r="D149" s="1291" t="s">
        <v>207</v>
      </c>
      <c r="E149" s="1291" t="s">
        <v>477</v>
      </c>
      <c r="F149" s="1292">
        <v>380000</v>
      </c>
    </row>
    <row r="150" spans="2:6" s="1280" customFormat="1">
      <c r="B150" s="1293"/>
      <c r="C150" s="1290" t="s">
        <v>479</v>
      </c>
      <c r="D150" s="1290" t="s">
        <v>204</v>
      </c>
      <c r="E150" s="1290" t="s">
        <v>480</v>
      </c>
      <c r="F150" s="1292">
        <v>2673309</v>
      </c>
    </row>
    <row r="151" spans="2:6" s="1280" customFormat="1" ht="22.5">
      <c r="B151" s="1293"/>
      <c r="C151" s="1291" t="s">
        <v>481</v>
      </c>
      <c r="D151" s="1291" t="s">
        <v>207</v>
      </c>
      <c r="E151" s="1291" t="s">
        <v>482</v>
      </c>
      <c r="F151" s="1292">
        <v>1000000</v>
      </c>
    </row>
    <row r="152" spans="2:6" s="1280" customFormat="1" ht="22.5">
      <c r="B152" s="1293"/>
      <c r="C152" s="1291" t="s">
        <v>483</v>
      </c>
      <c r="D152" s="1290" t="s">
        <v>204</v>
      </c>
      <c r="E152" s="1291" t="s">
        <v>484</v>
      </c>
      <c r="F152" s="1292">
        <v>1256262</v>
      </c>
    </row>
    <row r="153" spans="2:6" s="1280" customFormat="1" ht="22.5">
      <c r="B153" s="1289">
        <v>43456</v>
      </c>
      <c r="C153" s="1291" t="s">
        <v>485</v>
      </c>
      <c r="D153" s="1291" t="s">
        <v>207</v>
      </c>
      <c r="E153" s="1291" t="s">
        <v>486</v>
      </c>
      <c r="F153" s="1292">
        <v>90000</v>
      </c>
    </row>
    <row r="154" spans="2:6" s="1280" customFormat="1" ht="22.5">
      <c r="B154" s="1293"/>
      <c r="C154" s="1291" t="s">
        <v>487</v>
      </c>
      <c r="D154" s="1291" t="s">
        <v>207</v>
      </c>
      <c r="E154" s="1291" t="s">
        <v>488</v>
      </c>
      <c r="F154" s="1292">
        <v>50000</v>
      </c>
    </row>
    <row r="155" spans="2:6" s="1280" customFormat="1" ht="22.5">
      <c r="B155" s="1289">
        <v>43460</v>
      </c>
      <c r="C155" s="1291" t="s">
        <v>489</v>
      </c>
      <c r="D155" s="1291" t="s">
        <v>207</v>
      </c>
      <c r="E155" s="1290" t="s">
        <v>490</v>
      </c>
      <c r="F155" s="1292">
        <v>109390</v>
      </c>
    </row>
    <row r="156" spans="2:6" s="1280" customFormat="1" ht="22.5">
      <c r="B156" s="1293"/>
      <c r="C156" s="1291" t="s">
        <v>491</v>
      </c>
      <c r="D156" s="1291" t="s">
        <v>207</v>
      </c>
      <c r="E156" s="1291" t="s">
        <v>492</v>
      </c>
      <c r="F156" s="1292">
        <v>912000</v>
      </c>
    </row>
    <row r="157" spans="2:6" s="1280" customFormat="1" ht="33.75">
      <c r="B157" s="1293"/>
      <c r="C157" s="1291" t="s">
        <v>493</v>
      </c>
      <c r="D157" s="1291" t="s">
        <v>207</v>
      </c>
      <c r="E157" s="1291" t="s">
        <v>494</v>
      </c>
      <c r="F157" s="1292">
        <v>760000</v>
      </c>
    </row>
    <row r="158" spans="2:6" s="1280" customFormat="1" ht="22.5">
      <c r="B158" s="1293"/>
      <c r="C158" s="1291" t="s">
        <v>495</v>
      </c>
      <c r="D158" s="1291" t="s">
        <v>207</v>
      </c>
      <c r="E158" s="1290" t="s">
        <v>496</v>
      </c>
      <c r="F158" s="1292">
        <v>555</v>
      </c>
    </row>
    <row r="159" spans="2:6" s="1280" customFormat="1">
      <c r="B159" s="1293"/>
      <c r="C159" s="1290" t="s">
        <v>497</v>
      </c>
      <c r="D159" s="1290" t="s">
        <v>204</v>
      </c>
      <c r="E159" s="1291" t="s">
        <v>498</v>
      </c>
      <c r="F159" s="1292">
        <v>56854244</v>
      </c>
    </row>
    <row r="160" spans="2:6" s="1280" customFormat="1">
      <c r="B160" s="1293"/>
      <c r="C160" s="1290" t="s">
        <v>499</v>
      </c>
      <c r="D160" s="1291" t="s">
        <v>207</v>
      </c>
      <c r="E160" s="1291" t="s">
        <v>500</v>
      </c>
      <c r="F160" s="1292">
        <v>238000</v>
      </c>
    </row>
    <row r="161" spans="2:6" s="1280" customFormat="1" ht="22.5">
      <c r="B161" s="1293"/>
      <c r="C161" s="1290" t="s">
        <v>501</v>
      </c>
      <c r="D161" s="1291" t="s">
        <v>207</v>
      </c>
      <c r="E161" s="1291" t="s">
        <v>502</v>
      </c>
      <c r="F161" s="1292">
        <v>856500</v>
      </c>
    </row>
    <row r="162" spans="2:6" s="1280" customFormat="1" ht="22.5">
      <c r="B162" s="1289">
        <v>43461</v>
      </c>
      <c r="C162" s="1291" t="s">
        <v>503</v>
      </c>
      <c r="D162" s="1291" t="s">
        <v>207</v>
      </c>
      <c r="E162" s="1291" t="s">
        <v>504</v>
      </c>
      <c r="F162" s="1292">
        <v>1700000</v>
      </c>
    </row>
    <row r="163" spans="2:6" s="1280" customFormat="1" ht="22.5">
      <c r="B163" s="1289">
        <v>43461</v>
      </c>
      <c r="C163" s="1290" t="s">
        <v>505</v>
      </c>
      <c r="D163" s="1291" t="s">
        <v>207</v>
      </c>
      <c r="E163" s="1291" t="s">
        <v>506</v>
      </c>
      <c r="F163" s="1292">
        <v>647900</v>
      </c>
    </row>
    <row r="164" spans="2:6" s="1280" customFormat="1" ht="22.5">
      <c r="B164" s="1297"/>
      <c r="C164" s="1295" t="s">
        <v>507</v>
      </c>
      <c r="D164" s="1295" t="s">
        <v>207</v>
      </c>
      <c r="E164" s="1295" t="s">
        <v>508</v>
      </c>
      <c r="F164" s="1296">
        <v>744000</v>
      </c>
    </row>
    <row r="165" spans="2:6" s="1280" customFormat="1" ht="22.5">
      <c r="B165" s="1293"/>
      <c r="C165" s="1290" t="s">
        <v>509</v>
      </c>
      <c r="D165" s="1291" t="s">
        <v>207</v>
      </c>
      <c r="E165" s="1291" t="s">
        <v>510</v>
      </c>
      <c r="F165" s="1292">
        <v>1100000</v>
      </c>
    </row>
    <row r="166" spans="2:6" s="1280" customFormat="1">
      <c r="B166" s="1293"/>
      <c r="C166" s="1291" t="s">
        <v>511</v>
      </c>
      <c r="D166" s="1290" t="s">
        <v>204</v>
      </c>
      <c r="E166" s="1291" t="s">
        <v>512</v>
      </c>
      <c r="F166" s="1292">
        <v>2009520</v>
      </c>
    </row>
    <row r="167" spans="2:6" s="1280" customFormat="1">
      <c r="B167" s="1293"/>
      <c r="C167" s="1291" t="s">
        <v>513</v>
      </c>
      <c r="D167" s="1291" t="s">
        <v>207</v>
      </c>
      <c r="E167" s="1291" t="s">
        <v>514</v>
      </c>
      <c r="F167" s="1292">
        <v>4255100</v>
      </c>
    </row>
    <row r="168" spans="2:6" s="1280" customFormat="1" ht="22.5">
      <c r="B168" s="1293"/>
      <c r="C168" s="1291" t="s">
        <v>515</v>
      </c>
      <c r="D168" s="1291" t="s">
        <v>207</v>
      </c>
      <c r="E168" s="1291" t="s">
        <v>516</v>
      </c>
      <c r="F168" s="1292">
        <v>1105000</v>
      </c>
    </row>
    <row r="169" spans="2:6" s="1280" customFormat="1" ht="33.75">
      <c r="B169" s="1289">
        <v>43462</v>
      </c>
      <c r="C169" s="1291" t="s">
        <v>517</v>
      </c>
      <c r="D169" s="1291" t="s">
        <v>207</v>
      </c>
      <c r="E169" s="1291" t="s">
        <v>518</v>
      </c>
      <c r="F169" s="1292">
        <v>650000</v>
      </c>
    </row>
    <row r="170" spans="2:6" s="1280" customFormat="1" ht="33.75">
      <c r="B170" s="1293"/>
      <c r="C170" s="1291" t="s">
        <v>519</v>
      </c>
      <c r="D170" s="1291" t="s">
        <v>207</v>
      </c>
      <c r="E170" s="1291" t="s">
        <v>520</v>
      </c>
      <c r="F170" s="1292">
        <v>5596591</v>
      </c>
    </row>
    <row r="171" spans="2:6" s="1280" customFormat="1" ht="22.5">
      <c r="B171" s="1293"/>
      <c r="C171" s="1291" t="s">
        <v>521</v>
      </c>
      <c r="D171" s="1291" t="s">
        <v>207</v>
      </c>
      <c r="E171" s="1291" t="s">
        <v>522</v>
      </c>
      <c r="F171" s="1292">
        <v>6206900</v>
      </c>
    </row>
    <row r="172" spans="2:6" s="1280" customFormat="1">
      <c r="B172" s="1293"/>
      <c r="C172" s="1291" t="s">
        <v>523</v>
      </c>
      <c r="D172" s="1291" t="s">
        <v>207</v>
      </c>
      <c r="E172" s="1291" t="s">
        <v>524</v>
      </c>
      <c r="F172" s="1292">
        <v>30000</v>
      </c>
    </row>
    <row r="173" spans="2:6" s="1280" customFormat="1">
      <c r="B173" s="1293"/>
      <c r="C173" s="1291" t="s">
        <v>525</v>
      </c>
      <c r="D173" s="1291" t="s">
        <v>207</v>
      </c>
      <c r="E173" s="1290" t="s">
        <v>526</v>
      </c>
      <c r="F173" s="1292">
        <v>60000</v>
      </c>
    </row>
    <row r="174" spans="2:6" s="1280" customFormat="1">
      <c r="B174" s="1293"/>
      <c r="C174" s="1291" t="s">
        <v>527</v>
      </c>
      <c r="D174" s="1291" t="s">
        <v>207</v>
      </c>
      <c r="E174" s="1290" t="s">
        <v>528</v>
      </c>
      <c r="F174" s="1292">
        <v>60000</v>
      </c>
    </row>
    <row r="175" spans="2:6" s="1280" customFormat="1">
      <c r="B175" s="1293"/>
      <c r="C175" s="1290" t="s">
        <v>529</v>
      </c>
      <c r="D175" s="1291" t="s">
        <v>207</v>
      </c>
      <c r="E175" s="1291" t="s">
        <v>530</v>
      </c>
      <c r="F175" s="1292">
        <v>1900000</v>
      </c>
    </row>
    <row r="176" spans="2:6" s="1280" customFormat="1" ht="22.5">
      <c r="B176" s="1293"/>
      <c r="C176" s="1291" t="s">
        <v>531</v>
      </c>
      <c r="D176" s="1291" t="s">
        <v>207</v>
      </c>
      <c r="E176" s="1291" t="s">
        <v>532</v>
      </c>
      <c r="F176" s="1292">
        <v>500000</v>
      </c>
    </row>
    <row r="177" spans="2:6" s="1280" customFormat="1">
      <c r="B177" s="1293"/>
      <c r="C177" s="1290" t="s">
        <v>533</v>
      </c>
      <c r="D177" s="1291" t="s">
        <v>207</v>
      </c>
      <c r="E177" s="1290" t="s">
        <v>534</v>
      </c>
      <c r="F177" s="1292">
        <v>264000</v>
      </c>
    </row>
    <row r="178" spans="2:6" s="1280" customFormat="1" ht="22.5">
      <c r="B178" s="1293"/>
      <c r="C178" s="1290" t="s">
        <v>535</v>
      </c>
      <c r="D178" s="1290" t="s">
        <v>204</v>
      </c>
      <c r="E178" s="1291" t="s">
        <v>536</v>
      </c>
      <c r="F178" s="1292">
        <v>719000</v>
      </c>
    </row>
    <row r="179" spans="2:6" s="1280" customFormat="1">
      <c r="B179" s="1289">
        <v>43465</v>
      </c>
      <c r="C179" s="1291" t="s">
        <v>537</v>
      </c>
      <c r="D179" s="1291" t="s">
        <v>207</v>
      </c>
      <c r="E179" s="1291" t="s">
        <v>538</v>
      </c>
      <c r="F179" s="1292">
        <v>5021000</v>
      </c>
    </row>
    <row r="180" spans="2:6" s="1280" customFormat="1">
      <c r="B180" s="1293"/>
      <c r="C180" s="1290" t="s">
        <v>213</v>
      </c>
      <c r="D180" s="1291" t="s">
        <v>207</v>
      </c>
      <c r="E180" s="1291" t="s">
        <v>539</v>
      </c>
      <c r="F180" s="1292">
        <v>52102000</v>
      </c>
    </row>
    <row r="181" spans="2:6" s="1280" customFormat="1">
      <c r="B181" s="1293"/>
      <c r="C181" s="1291" t="s">
        <v>540</v>
      </c>
      <c r="D181" s="1291" t="s">
        <v>207</v>
      </c>
      <c r="E181" s="1291" t="s">
        <v>541</v>
      </c>
      <c r="F181" s="1292">
        <v>41385800</v>
      </c>
    </row>
    <row r="182" spans="2:6" s="1280" customFormat="1">
      <c r="B182" s="1293"/>
      <c r="C182" s="1291" t="s">
        <v>542</v>
      </c>
      <c r="D182" s="1291" t="s">
        <v>207</v>
      </c>
      <c r="E182" s="1290" t="s">
        <v>543</v>
      </c>
      <c r="F182" s="1292">
        <v>6600000</v>
      </c>
    </row>
    <row r="183" spans="2:6" s="1280" customFormat="1">
      <c r="B183" s="1293"/>
      <c r="C183" s="1291" t="s">
        <v>544</v>
      </c>
      <c r="D183" s="1291" t="s">
        <v>207</v>
      </c>
      <c r="E183" s="1291" t="s">
        <v>545</v>
      </c>
      <c r="F183" s="1292">
        <v>2200000</v>
      </c>
    </row>
    <row r="184" spans="2:6" s="1280" customFormat="1">
      <c r="B184" s="1293"/>
      <c r="C184" s="1291" t="s">
        <v>546</v>
      </c>
      <c r="D184" s="1291" t="s">
        <v>207</v>
      </c>
      <c r="E184" s="1291" t="s">
        <v>547</v>
      </c>
      <c r="F184" s="1292">
        <v>5336250</v>
      </c>
    </row>
    <row r="185" spans="2:6" s="1280" customFormat="1">
      <c r="B185" s="1293"/>
      <c r="C185" s="1291" t="s">
        <v>548</v>
      </c>
      <c r="D185" s="1291" t="s">
        <v>207</v>
      </c>
      <c r="E185" s="1291" t="s">
        <v>549</v>
      </c>
      <c r="F185" s="1292">
        <v>21000000</v>
      </c>
    </row>
    <row r="186" spans="2:6" s="1280" customFormat="1" ht="22.5">
      <c r="B186" s="1293"/>
      <c r="C186" s="1290" t="s">
        <v>550</v>
      </c>
      <c r="D186" s="1290" t="s">
        <v>204</v>
      </c>
      <c r="E186" s="1291" t="s">
        <v>551</v>
      </c>
      <c r="F186" s="1292">
        <v>6779500</v>
      </c>
    </row>
    <row r="187" spans="2:6" s="1280" customFormat="1">
      <c r="B187" s="1293"/>
      <c r="C187" s="1291" t="s">
        <v>552</v>
      </c>
      <c r="D187" s="1290" t="s">
        <v>204</v>
      </c>
      <c r="E187" s="1291" t="s">
        <v>553</v>
      </c>
      <c r="F187" s="1292">
        <v>46947500</v>
      </c>
    </row>
    <row r="188" spans="2:6" s="1280" customFormat="1">
      <c r="B188" s="1293"/>
      <c r="C188" s="1291"/>
      <c r="D188" s="1290"/>
      <c r="E188" s="1291"/>
      <c r="F188" s="1293"/>
    </row>
    <row r="189" spans="2:6" s="1280" customFormat="1">
      <c r="B189" s="1289">
        <v>43102</v>
      </c>
      <c r="C189" s="1290" t="s">
        <v>554</v>
      </c>
      <c r="D189" s="1290"/>
      <c r="E189" s="1290" t="s">
        <v>555</v>
      </c>
      <c r="F189" s="1292">
        <v>4650000</v>
      </c>
    </row>
    <row r="190" spans="2:6" s="1280" customFormat="1">
      <c r="B190" s="1289">
        <v>43462</v>
      </c>
      <c r="C190" s="1290" t="s">
        <v>556</v>
      </c>
      <c r="D190" s="1290"/>
      <c r="E190" s="1290" t="s">
        <v>557</v>
      </c>
      <c r="F190" s="1292">
        <v>22184266</v>
      </c>
    </row>
    <row r="191" spans="2:6" s="1280" customFormat="1" ht="22.5">
      <c r="B191" s="1298"/>
      <c r="C191" s="1291" t="s">
        <v>558</v>
      </c>
      <c r="D191" s="1290"/>
      <c r="E191" s="1291" t="s">
        <v>559</v>
      </c>
      <c r="F191" s="1292">
        <v>560552221</v>
      </c>
    </row>
    <row r="192" spans="2:6" s="1280" customFormat="1" ht="22.5">
      <c r="B192" s="1298"/>
      <c r="C192" s="1291" t="s">
        <v>560</v>
      </c>
      <c r="D192" s="1290"/>
      <c r="E192" s="1290" t="s">
        <v>561</v>
      </c>
      <c r="F192" s="1292">
        <v>144672874</v>
      </c>
    </row>
    <row r="193" spans="2:6" s="1280" customFormat="1">
      <c r="B193" s="1298"/>
      <c r="C193" s="1290" t="s">
        <v>562</v>
      </c>
      <c r="D193" s="1290"/>
      <c r="E193" s="1290" t="s">
        <v>563</v>
      </c>
      <c r="F193" s="1292">
        <v>209284172</v>
      </c>
    </row>
    <row r="194" spans="2:6" s="1280" customFormat="1">
      <c r="B194" s="1298"/>
      <c r="C194" s="1290" t="s">
        <v>564</v>
      </c>
      <c r="D194" s="1290"/>
      <c r="E194" s="1290" t="s">
        <v>565</v>
      </c>
      <c r="F194" s="1292">
        <v>125188705</v>
      </c>
    </row>
    <row r="195" spans="2:6" s="1280" customFormat="1">
      <c r="B195" s="1298"/>
      <c r="C195" s="1290" t="s">
        <v>566</v>
      </c>
      <c r="D195" s="1291"/>
      <c r="E195" s="1290" t="s">
        <v>567</v>
      </c>
      <c r="F195" s="1292">
        <v>2580987379</v>
      </c>
    </row>
    <row r="196" spans="2:6" s="1280" customFormat="1" ht="22.5">
      <c r="B196" s="1298"/>
      <c r="C196" s="1290" t="s">
        <v>568</v>
      </c>
      <c r="D196" s="1290"/>
      <c r="E196" s="1291" t="s">
        <v>569</v>
      </c>
      <c r="F196" s="1292">
        <v>150097098</v>
      </c>
    </row>
    <row r="197" spans="2:6" s="1280" customFormat="1" ht="22.5">
      <c r="B197" s="1298"/>
      <c r="C197" s="1290" t="s">
        <v>570</v>
      </c>
      <c r="D197" s="1290"/>
      <c r="E197" s="1291" t="s">
        <v>571</v>
      </c>
      <c r="F197" s="1292">
        <v>4392819</v>
      </c>
    </row>
    <row r="198" spans="2:6" s="1280" customFormat="1" ht="22.5">
      <c r="B198" s="1289">
        <v>43464</v>
      </c>
      <c r="C198" s="1290" t="s">
        <v>572</v>
      </c>
      <c r="D198" s="1290"/>
      <c r="E198" s="1291" t="s">
        <v>573</v>
      </c>
      <c r="F198" s="1292">
        <v>49500000</v>
      </c>
    </row>
    <row r="199" spans="2:6" s="1280" customFormat="1" ht="22.5">
      <c r="B199" s="1298"/>
      <c r="C199" s="1290" t="s">
        <v>574</v>
      </c>
      <c r="D199" s="1290"/>
      <c r="E199" s="1291" t="s">
        <v>573</v>
      </c>
      <c r="F199" s="1292">
        <v>21278500</v>
      </c>
    </row>
    <row r="200" spans="2:6" s="1280" customFormat="1" ht="22.5">
      <c r="B200" s="1298"/>
      <c r="C200" s="1290" t="s">
        <v>575</v>
      </c>
      <c r="D200" s="1290"/>
      <c r="E200" s="1291" t="s">
        <v>573</v>
      </c>
      <c r="F200" s="1292">
        <v>24242980</v>
      </c>
    </row>
    <row r="201" spans="2:6" s="1280" customFormat="1" ht="22.5">
      <c r="B201" s="1298"/>
      <c r="C201" s="1290" t="s">
        <v>576</v>
      </c>
      <c r="D201" s="1290"/>
      <c r="E201" s="1291" t="s">
        <v>573</v>
      </c>
      <c r="F201" s="1292">
        <v>1958632</v>
      </c>
    </row>
    <row r="202" spans="2:6" s="1280" customFormat="1" ht="22.5">
      <c r="B202" s="1298"/>
      <c r="C202" s="1290" t="s">
        <v>577</v>
      </c>
      <c r="D202" s="1290"/>
      <c r="E202" s="1291" t="s">
        <v>573</v>
      </c>
      <c r="F202" s="1292">
        <v>5185000</v>
      </c>
    </row>
    <row r="203" spans="2:6" s="1280" customFormat="1" ht="22.5">
      <c r="B203" s="1298"/>
      <c r="C203" s="1290" t="s">
        <v>578</v>
      </c>
      <c r="D203" s="1290"/>
      <c r="E203" s="1291" t="s">
        <v>573</v>
      </c>
      <c r="F203" s="1292">
        <v>77776200</v>
      </c>
    </row>
    <row r="204" spans="2:6" s="1280" customFormat="1" ht="22.5">
      <c r="B204" s="1298"/>
      <c r="C204" s="1290" t="s">
        <v>579</v>
      </c>
      <c r="D204" s="1290"/>
      <c r="E204" s="1291" t="s">
        <v>573</v>
      </c>
      <c r="F204" s="1292">
        <v>18327000</v>
      </c>
    </row>
    <row r="205" spans="2:6" s="1280" customFormat="1" ht="22.5">
      <c r="B205" s="1298"/>
      <c r="C205" s="1290" t="s">
        <v>580</v>
      </c>
      <c r="D205" s="1290"/>
      <c r="E205" s="1291" t="s">
        <v>573</v>
      </c>
      <c r="F205" s="1292">
        <v>8800000</v>
      </c>
    </row>
    <row r="206" spans="2:6" s="1280" customFormat="1" ht="22.5">
      <c r="B206" s="1298"/>
      <c r="C206" s="1290" t="s">
        <v>581</v>
      </c>
      <c r="D206" s="1290"/>
      <c r="E206" s="1291" t="s">
        <v>573</v>
      </c>
      <c r="F206" s="1292">
        <v>21300000</v>
      </c>
    </row>
    <row r="207" spans="2:6" s="1280" customFormat="1" ht="22.5">
      <c r="B207" s="1298"/>
      <c r="C207" s="1290" t="s">
        <v>582</v>
      </c>
      <c r="D207" s="1290"/>
      <c r="E207" s="1291" t="s">
        <v>573</v>
      </c>
      <c r="F207" s="1292">
        <v>846600</v>
      </c>
    </row>
    <row r="208" spans="2:6" s="1280" customFormat="1" ht="22.5">
      <c r="B208" s="1298"/>
      <c r="C208" s="1290" t="s">
        <v>583</v>
      </c>
      <c r="D208" s="1290"/>
      <c r="E208" s="1291" t="s">
        <v>584</v>
      </c>
      <c r="F208" s="1292">
        <v>3716956</v>
      </c>
    </row>
    <row r="209" spans="2:6" s="1280" customFormat="1" ht="22.5">
      <c r="B209" s="1298"/>
      <c r="C209" s="1290" t="s">
        <v>585</v>
      </c>
      <c r="D209" s="1290"/>
      <c r="E209" s="1291" t="s">
        <v>573</v>
      </c>
      <c r="F209" s="1292">
        <v>213666278</v>
      </c>
    </row>
    <row r="210" spans="2:6" s="1280" customFormat="1" ht="22.5">
      <c r="B210" s="1298"/>
      <c r="C210" s="1290" t="s">
        <v>586</v>
      </c>
      <c r="D210" s="1290"/>
      <c r="E210" s="1291" t="s">
        <v>587</v>
      </c>
      <c r="F210" s="1292">
        <v>177975000</v>
      </c>
    </row>
    <row r="211" spans="2:6" s="1280" customFormat="1" ht="22.5">
      <c r="B211" s="1298"/>
      <c r="C211" s="1290" t="s">
        <v>588</v>
      </c>
      <c r="D211" s="1290"/>
      <c r="E211" s="1291" t="s">
        <v>587</v>
      </c>
      <c r="F211" s="1292">
        <v>3350000</v>
      </c>
    </row>
    <row r="212" spans="2:6" s="1280" customFormat="1" ht="22.5">
      <c r="B212" s="1298"/>
      <c r="C212" s="1290" t="s">
        <v>589</v>
      </c>
      <c r="D212" s="1290"/>
      <c r="E212" s="1291" t="s">
        <v>587</v>
      </c>
      <c r="F212" s="1292">
        <v>500000</v>
      </c>
    </row>
    <row r="213" spans="2:6" s="1280" customFormat="1" ht="22.5">
      <c r="B213" s="1298"/>
      <c r="C213" s="1290" t="s">
        <v>590</v>
      </c>
      <c r="D213" s="1290"/>
      <c r="E213" s="1291" t="s">
        <v>587</v>
      </c>
      <c r="F213" s="1292">
        <v>4273500</v>
      </c>
    </row>
    <row r="214" spans="2:6" s="1280" customFormat="1" ht="22.5">
      <c r="B214" s="1298"/>
      <c r="C214" s="1290" t="s">
        <v>591</v>
      </c>
      <c r="D214" s="1290"/>
      <c r="E214" s="1291" t="s">
        <v>587</v>
      </c>
      <c r="F214" s="1292">
        <v>10854800</v>
      </c>
    </row>
    <row r="215" spans="2:6" s="1280" customFormat="1" ht="22.5">
      <c r="B215" s="1299"/>
      <c r="C215" s="1300" t="s">
        <v>592</v>
      </c>
      <c r="D215" s="1300"/>
      <c r="E215" s="1295" t="s">
        <v>587</v>
      </c>
      <c r="F215" s="1296">
        <v>31126604</v>
      </c>
    </row>
    <row r="216" spans="2:6" s="1280" customFormat="1" ht="22.5">
      <c r="B216" s="1298"/>
      <c r="C216" s="1290" t="s">
        <v>593</v>
      </c>
      <c r="D216" s="1290"/>
      <c r="E216" s="1291" t="s">
        <v>587</v>
      </c>
      <c r="F216" s="1292">
        <v>300000000</v>
      </c>
    </row>
    <row r="217" spans="2:6" s="1280" customFormat="1" ht="22.5">
      <c r="B217" s="1298"/>
      <c r="C217" s="1290" t="s">
        <v>594</v>
      </c>
      <c r="D217" s="1290"/>
      <c r="E217" s="1291" t="s">
        <v>587</v>
      </c>
      <c r="F217" s="1292">
        <v>27301000</v>
      </c>
    </row>
    <row r="218" spans="2:6" s="1280" customFormat="1" ht="22.5">
      <c r="B218" s="1298"/>
      <c r="C218" s="1290" t="s">
        <v>595</v>
      </c>
      <c r="D218" s="1290"/>
      <c r="E218" s="1291" t="s">
        <v>587</v>
      </c>
      <c r="F218" s="1292">
        <v>35325509</v>
      </c>
    </row>
    <row r="219" spans="2:6" s="1280" customFormat="1" ht="22.5">
      <c r="B219" s="1298"/>
      <c r="C219" s="1290" t="s">
        <v>596</v>
      </c>
      <c r="D219" s="1290"/>
      <c r="E219" s="1291" t="s">
        <v>587</v>
      </c>
      <c r="F219" s="1292">
        <v>71625352</v>
      </c>
    </row>
    <row r="220" spans="2:6" s="1280" customFormat="1" ht="22.5">
      <c r="B220" s="1298"/>
      <c r="C220" s="1290" t="s">
        <v>597</v>
      </c>
      <c r="D220" s="1290"/>
      <c r="E220" s="1291" t="s">
        <v>587</v>
      </c>
      <c r="F220" s="1292">
        <v>40124745</v>
      </c>
    </row>
    <row r="221" spans="2:6" s="1280" customFormat="1" ht="22.5">
      <c r="B221" s="1298"/>
      <c r="C221" s="1290" t="s">
        <v>598</v>
      </c>
      <c r="D221" s="1290"/>
      <c r="E221" s="1291" t="s">
        <v>587</v>
      </c>
      <c r="F221" s="1292">
        <v>51742300</v>
      </c>
    </row>
    <row r="222" spans="2:6" s="1280" customFormat="1" ht="22.5">
      <c r="B222" s="1298"/>
      <c r="C222" s="1290" t="s">
        <v>599</v>
      </c>
      <c r="D222" s="1290"/>
      <c r="E222" s="1291" t="s">
        <v>587</v>
      </c>
      <c r="F222" s="1292">
        <v>164072866</v>
      </c>
    </row>
    <row r="223" spans="2:6" s="1280" customFormat="1" ht="22.5">
      <c r="B223" s="1298"/>
      <c r="C223" s="1290" t="s">
        <v>600</v>
      </c>
      <c r="D223" s="1290"/>
      <c r="E223" s="1291" t="s">
        <v>587</v>
      </c>
      <c r="F223" s="1292">
        <v>19325000</v>
      </c>
    </row>
    <row r="224" spans="2:6" s="1280" customFormat="1" ht="22.5">
      <c r="B224" s="1298"/>
      <c r="C224" s="1290" t="s">
        <v>601</v>
      </c>
      <c r="D224" s="1290"/>
      <c r="E224" s="1291" t="s">
        <v>587</v>
      </c>
      <c r="F224" s="1292">
        <v>7475000</v>
      </c>
    </row>
    <row r="225" spans="2:6" s="1280" customFormat="1" ht="22.5">
      <c r="B225" s="1289">
        <v>43464</v>
      </c>
      <c r="C225" s="1290" t="s">
        <v>602</v>
      </c>
      <c r="D225" s="1290"/>
      <c r="E225" s="1291" t="s">
        <v>587</v>
      </c>
      <c r="F225" s="1292">
        <v>45000</v>
      </c>
    </row>
    <row r="226" spans="2:6" s="1280" customFormat="1" ht="22.5">
      <c r="B226" s="1298"/>
      <c r="C226" s="1290" t="s">
        <v>603</v>
      </c>
      <c r="D226" s="1290"/>
      <c r="E226" s="1291" t="s">
        <v>587</v>
      </c>
      <c r="F226" s="1292">
        <v>30845733</v>
      </c>
    </row>
    <row r="227" spans="2:6" s="1280" customFormat="1" ht="22.5">
      <c r="B227" s="1298"/>
      <c r="C227" s="1290" t="s">
        <v>604</v>
      </c>
      <c r="D227" s="1290"/>
      <c r="E227" s="1291" t="s">
        <v>587</v>
      </c>
      <c r="F227" s="1292">
        <v>1749400</v>
      </c>
    </row>
    <row r="228" spans="2:6" s="1280" customFormat="1" ht="22.5">
      <c r="B228" s="1298"/>
      <c r="C228" s="1290" t="s">
        <v>605</v>
      </c>
      <c r="D228" s="1290"/>
      <c r="E228" s="1291" t="s">
        <v>587</v>
      </c>
      <c r="F228" s="1292">
        <v>10958000</v>
      </c>
    </row>
    <row r="229" spans="2:6" s="1280" customFormat="1" ht="22.5">
      <c r="B229" s="1298"/>
      <c r="C229" s="1290" t="s">
        <v>606</v>
      </c>
      <c r="D229" s="1290"/>
      <c r="E229" s="1291" t="s">
        <v>587</v>
      </c>
      <c r="F229" s="1292">
        <v>1449935</v>
      </c>
    </row>
    <row r="230" spans="2:6" s="1280" customFormat="1" ht="22.5">
      <c r="B230" s="1298"/>
      <c r="C230" s="1290" t="s">
        <v>607</v>
      </c>
      <c r="D230" s="1290"/>
      <c r="E230" s="1291" t="s">
        <v>587</v>
      </c>
      <c r="F230" s="1292">
        <v>7300000</v>
      </c>
    </row>
    <row r="231" spans="2:6" s="1280" customFormat="1" ht="22.5">
      <c r="B231" s="1298"/>
      <c r="C231" s="1290" t="s">
        <v>608</v>
      </c>
      <c r="D231" s="1290"/>
      <c r="E231" s="1291" t="s">
        <v>587</v>
      </c>
      <c r="F231" s="1292">
        <v>12374000</v>
      </c>
    </row>
    <row r="232" spans="2:6" s="1280" customFormat="1" ht="22.5">
      <c r="B232" s="1298"/>
      <c r="C232" s="1290" t="s">
        <v>609</v>
      </c>
      <c r="D232" s="1290"/>
      <c r="E232" s="1291" t="s">
        <v>587</v>
      </c>
      <c r="F232" s="1292">
        <v>264224408</v>
      </c>
    </row>
    <row r="233" spans="2:6" s="1280" customFormat="1" ht="22.5">
      <c r="B233" s="1298"/>
      <c r="C233" s="1290" t="s">
        <v>610</v>
      </c>
      <c r="D233" s="1290"/>
      <c r="E233" s="1291" t="s">
        <v>587</v>
      </c>
      <c r="F233" s="1292">
        <v>14400000</v>
      </c>
    </row>
    <row r="234" spans="2:6" s="1280" customFormat="1" ht="22.5">
      <c r="B234" s="1298"/>
      <c r="C234" s="1290" t="s">
        <v>611</v>
      </c>
      <c r="D234" s="1290"/>
      <c r="E234" s="1291" t="s">
        <v>587</v>
      </c>
      <c r="F234" s="1292">
        <v>24780000</v>
      </c>
    </row>
    <row r="235" spans="2:6" s="1280" customFormat="1" ht="22.5">
      <c r="B235" s="1298"/>
      <c r="C235" s="1290" t="s">
        <v>612</v>
      </c>
      <c r="D235" s="1290"/>
      <c r="E235" s="1291" t="s">
        <v>587</v>
      </c>
      <c r="F235" s="1292">
        <v>2807828</v>
      </c>
    </row>
    <row r="236" spans="2:6" s="1280" customFormat="1" ht="22.5">
      <c r="B236" s="1298"/>
      <c r="C236" s="1290" t="s">
        <v>613</v>
      </c>
      <c r="D236" s="1290"/>
      <c r="E236" s="1291" t="s">
        <v>587</v>
      </c>
      <c r="F236" s="1292">
        <v>524296</v>
      </c>
    </row>
    <row r="237" spans="2:6" s="1280" customFormat="1" ht="22.5">
      <c r="B237" s="1298"/>
      <c r="C237" s="1290" t="s">
        <v>614</v>
      </c>
      <c r="D237" s="1290"/>
      <c r="E237" s="1291" t="s">
        <v>587</v>
      </c>
      <c r="F237" s="1292">
        <v>11795000</v>
      </c>
    </row>
    <row r="238" spans="2:6" s="1280" customFormat="1" ht="22.5">
      <c r="B238" s="1298"/>
      <c r="C238" s="1290" t="s">
        <v>615</v>
      </c>
      <c r="D238" s="1290"/>
      <c r="E238" s="1291" t="s">
        <v>587</v>
      </c>
      <c r="F238" s="1292">
        <v>41963843</v>
      </c>
    </row>
    <row r="239" spans="2:6" s="1280" customFormat="1" ht="22.5">
      <c r="B239" s="1298"/>
      <c r="C239" s="1290" t="s">
        <v>616</v>
      </c>
      <c r="D239" s="1290"/>
      <c r="E239" s="1291" t="s">
        <v>587</v>
      </c>
      <c r="F239" s="1292">
        <v>14467180</v>
      </c>
    </row>
    <row r="240" spans="2:6" s="1280" customFormat="1" ht="22.5">
      <c r="B240" s="1298"/>
      <c r="C240" s="1290" t="s">
        <v>617</v>
      </c>
      <c r="D240" s="1290"/>
      <c r="E240" s="1291" t="s">
        <v>587</v>
      </c>
      <c r="F240" s="1292">
        <v>1449935</v>
      </c>
    </row>
    <row r="241" spans="2:6" s="1280" customFormat="1" ht="22.5">
      <c r="B241" s="1298"/>
      <c r="C241" s="1290" t="s">
        <v>618</v>
      </c>
      <c r="D241" s="1290"/>
      <c r="E241" s="1291" t="s">
        <v>587</v>
      </c>
      <c r="F241" s="1292">
        <v>10513060</v>
      </c>
    </row>
    <row r="242" spans="2:6" s="1280" customFormat="1" ht="22.5">
      <c r="B242" s="1298"/>
      <c r="C242" s="1290" t="s">
        <v>619</v>
      </c>
      <c r="D242" s="1290"/>
      <c r="E242" s="1291" t="s">
        <v>587</v>
      </c>
      <c r="F242" s="1292">
        <v>274845</v>
      </c>
    </row>
    <row r="243" spans="2:6" s="1280" customFormat="1" ht="22.5">
      <c r="B243" s="1298"/>
      <c r="C243" s="1290" t="s">
        <v>620</v>
      </c>
      <c r="D243" s="1290"/>
      <c r="E243" s="1291" t="s">
        <v>587</v>
      </c>
      <c r="F243" s="1292">
        <v>37896959</v>
      </c>
    </row>
    <row r="244" spans="2:6" s="1280" customFormat="1" ht="22.5">
      <c r="B244" s="1298"/>
      <c r="C244" s="1290" t="s">
        <v>621</v>
      </c>
      <c r="D244" s="1290"/>
      <c r="E244" s="1291" t="s">
        <v>587</v>
      </c>
      <c r="F244" s="1292">
        <v>11578430</v>
      </c>
    </row>
    <row r="245" spans="2:6" s="1280" customFormat="1" ht="22.5">
      <c r="B245" s="1298"/>
      <c r="C245" s="1290" t="s">
        <v>622</v>
      </c>
      <c r="D245" s="1290"/>
      <c r="E245" s="1291" t="s">
        <v>587</v>
      </c>
      <c r="F245" s="1292">
        <v>123475550</v>
      </c>
    </row>
    <row r="246" spans="2:6" s="1280" customFormat="1" ht="22.5">
      <c r="B246" s="1298"/>
      <c r="C246" s="1290" t="s">
        <v>623</v>
      </c>
      <c r="D246" s="1290"/>
      <c r="E246" s="1291" t="s">
        <v>587</v>
      </c>
      <c r="F246" s="1292">
        <v>116600000</v>
      </c>
    </row>
    <row r="247" spans="2:6" s="1280" customFormat="1" ht="22.5">
      <c r="B247" s="1298"/>
      <c r="C247" s="1290" t="s">
        <v>624</v>
      </c>
      <c r="D247" s="1290"/>
      <c r="E247" s="1291" t="s">
        <v>587</v>
      </c>
      <c r="F247" s="1292">
        <v>20000000</v>
      </c>
    </row>
    <row r="248" spans="2:6" s="1280" customFormat="1" ht="22.5">
      <c r="B248" s="1298"/>
      <c r="C248" s="1290" t="s">
        <v>625</v>
      </c>
      <c r="D248" s="1290"/>
      <c r="E248" s="1291" t="s">
        <v>587</v>
      </c>
      <c r="F248" s="1292">
        <v>31000000</v>
      </c>
    </row>
    <row r="249" spans="2:6" s="1280" customFormat="1" ht="22.5">
      <c r="B249" s="1298"/>
      <c r="C249" s="1290" t="s">
        <v>626</v>
      </c>
      <c r="D249" s="1290"/>
      <c r="E249" s="1291" t="s">
        <v>587</v>
      </c>
      <c r="F249" s="1292">
        <v>59400000</v>
      </c>
    </row>
    <row r="250" spans="2:6" s="1280" customFormat="1" ht="22.5">
      <c r="B250" s="1298"/>
      <c r="C250" s="1290" t="s">
        <v>627</v>
      </c>
      <c r="D250" s="1290"/>
      <c r="E250" s="1291" t="s">
        <v>587</v>
      </c>
      <c r="F250" s="1292">
        <v>132000000</v>
      </c>
    </row>
    <row r="251" spans="2:6" s="1280" customFormat="1" ht="22.5">
      <c r="B251" s="1298"/>
      <c r="C251" s="1290" t="s">
        <v>628</v>
      </c>
      <c r="D251" s="1290"/>
      <c r="E251" s="1291" t="s">
        <v>587</v>
      </c>
      <c r="F251" s="1292">
        <v>198000000</v>
      </c>
    </row>
    <row r="252" spans="2:6" s="1280" customFormat="1" ht="22.5">
      <c r="B252" s="1298"/>
      <c r="C252" s="1290" t="s">
        <v>629</v>
      </c>
      <c r="D252" s="1290"/>
      <c r="E252" s="1291" t="s">
        <v>587</v>
      </c>
      <c r="F252" s="1292">
        <v>36000000</v>
      </c>
    </row>
    <row r="253" spans="2:6" s="1280" customFormat="1" ht="22.5">
      <c r="B253" s="1298"/>
      <c r="C253" s="1290" t="s">
        <v>630</v>
      </c>
      <c r="D253" s="1290"/>
      <c r="E253" s="1291" t="s">
        <v>587</v>
      </c>
      <c r="F253" s="1292">
        <v>80280000</v>
      </c>
    </row>
    <row r="254" spans="2:6" s="1280" customFormat="1" ht="22.5">
      <c r="B254" s="1298"/>
      <c r="C254" s="1290" t="s">
        <v>631</v>
      </c>
      <c r="D254" s="1290"/>
      <c r="E254" s="1291" t="s">
        <v>587</v>
      </c>
      <c r="F254" s="1292">
        <v>37600000</v>
      </c>
    </row>
    <row r="255" spans="2:6" s="1280" customFormat="1" ht="22.5">
      <c r="B255" s="1298"/>
      <c r="C255" s="1290" t="s">
        <v>632</v>
      </c>
      <c r="D255" s="1290"/>
      <c r="E255" s="1291" t="s">
        <v>587</v>
      </c>
      <c r="F255" s="1292">
        <v>11000000</v>
      </c>
    </row>
    <row r="256" spans="2:6" s="1280" customFormat="1" ht="22.5">
      <c r="B256" s="1298"/>
      <c r="C256" s="1290" t="s">
        <v>633</v>
      </c>
      <c r="D256" s="1290"/>
      <c r="E256" s="1291" t="s">
        <v>587</v>
      </c>
      <c r="F256" s="1292">
        <v>29000000</v>
      </c>
    </row>
    <row r="257" spans="2:6" s="1280" customFormat="1" ht="22.5">
      <c r="B257" s="1299"/>
      <c r="C257" s="1300" t="s">
        <v>634</v>
      </c>
      <c r="D257" s="1300"/>
      <c r="E257" s="1295" t="s">
        <v>587</v>
      </c>
      <c r="F257" s="1296">
        <v>85000000</v>
      </c>
    </row>
    <row r="258" spans="2:6" s="1280" customFormat="1" ht="22.5">
      <c r="B258" s="1298"/>
      <c r="C258" s="1290" t="s">
        <v>635</v>
      </c>
      <c r="D258" s="1290"/>
      <c r="E258" s="1291" t="s">
        <v>587</v>
      </c>
      <c r="F258" s="1292">
        <v>47951000</v>
      </c>
    </row>
    <row r="259" spans="2:6" s="1280" customFormat="1" ht="22.5">
      <c r="B259" s="1289">
        <v>43464</v>
      </c>
      <c r="C259" s="1290" t="s">
        <v>636</v>
      </c>
      <c r="D259" s="1290"/>
      <c r="E259" s="1291" t="s">
        <v>587</v>
      </c>
      <c r="F259" s="1292">
        <v>19000000</v>
      </c>
    </row>
    <row r="260" spans="2:6" s="1280" customFormat="1" ht="22.5">
      <c r="B260" s="1298"/>
      <c r="C260" s="1290" t="s">
        <v>637</v>
      </c>
      <c r="D260" s="1290"/>
      <c r="E260" s="1291" t="s">
        <v>587</v>
      </c>
      <c r="F260" s="1292">
        <v>22640000</v>
      </c>
    </row>
    <row r="261" spans="2:6" s="1280" customFormat="1" ht="22.5">
      <c r="B261" s="1298"/>
      <c r="C261" s="1290" t="s">
        <v>638</v>
      </c>
      <c r="D261" s="1290"/>
      <c r="E261" s="1291" t="s">
        <v>587</v>
      </c>
      <c r="F261" s="1292">
        <v>31000000</v>
      </c>
    </row>
    <row r="262" spans="2:6" s="1280" customFormat="1" ht="22.5">
      <c r="B262" s="1298"/>
      <c r="C262" s="1290" t="s">
        <v>639</v>
      </c>
      <c r="D262" s="1290"/>
      <c r="E262" s="1291" t="s">
        <v>587</v>
      </c>
      <c r="F262" s="1292">
        <v>20000000</v>
      </c>
    </row>
    <row r="263" spans="2:6" s="1280" customFormat="1" ht="22.5">
      <c r="B263" s="1298"/>
      <c r="C263" s="1290" t="s">
        <v>640</v>
      </c>
      <c r="D263" s="1290"/>
      <c r="E263" s="1291" t="s">
        <v>587</v>
      </c>
      <c r="F263" s="1292">
        <v>28326000</v>
      </c>
    </row>
    <row r="264" spans="2:6" s="1280" customFormat="1" ht="22.5">
      <c r="B264" s="1298"/>
      <c r="C264" s="1290" t="s">
        <v>641</v>
      </c>
      <c r="D264" s="1290"/>
      <c r="E264" s="1291" t="s">
        <v>587</v>
      </c>
      <c r="F264" s="1292">
        <v>49326000</v>
      </c>
    </row>
    <row r="265" spans="2:6" s="1280" customFormat="1" ht="22.5">
      <c r="B265" s="1298"/>
      <c r="C265" s="1290" t="s">
        <v>642</v>
      </c>
      <c r="D265" s="1290"/>
      <c r="E265" s="1291" t="s">
        <v>587</v>
      </c>
      <c r="F265" s="1292">
        <v>42000000</v>
      </c>
    </row>
    <row r="266" spans="2:6" s="1280" customFormat="1" ht="22.5">
      <c r="B266" s="1298"/>
      <c r="C266" s="1290" t="s">
        <v>643</v>
      </c>
      <c r="D266" s="1290"/>
      <c r="E266" s="1291" t="s">
        <v>587</v>
      </c>
      <c r="F266" s="1292">
        <v>7222885035</v>
      </c>
    </row>
    <row r="267" spans="2:6" s="1280" customFormat="1" ht="22.5">
      <c r="B267" s="1289">
        <v>43465</v>
      </c>
      <c r="C267" s="1290" t="s">
        <v>644</v>
      </c>
      <c r="D267" s="1290"/>
      <c r="E267" s="1291" t="s">
        <v>645</v>
      </c>
      <c r="F267" s="1292">
        <v>94050732</v>
      </c>
    </row>
    <row r="268" spans="2:6" s="1280" customFormat="1" ht="22.5">
      <c r="B268" s="1298"/>
      <c r="C268" s="1291" t="s">
        <v>646</v>
      </c>
      <c r="D268" s="1290"/>
      <c r="E268" s="1290" t="s">
        <v>647</v>
      </c>
      <c r="F268" s="1292">
        <v>185361801</v>
      </c>
    </row>
    <row r="269" spans="2:6" s="1280" customFormat="1" ht="22.5">
      <c r="B269" s="1298"/>
      <c r="C269" s="1291" t="s">
        <v>648</v>
      </c>
      <c r="D269" s="1290"/>
      <c r="E269" s="1291" t="s">
        <v>649</v>
      </c>
      <c r="F269" s="1292">
        <v>821337358</v>
      </c>
    </row>
    <row r="270" spans="2:6" s="1280" customFormat="1" ht="22.5">
      <c r="B270" s="1298"/>
      <c r="C270" s="1291" t="s">
        <v>650</v>
      </c>
      <c r="D270" s="1290"/>
      <c r="E270" s="1291" t="s">
        <v>651</v>
      </c>
      <c r="F270" s="1292">
        <v>2952627</v>
      </c>
    </row>
    <row r="271" spans="2:6" s="1280" customFormat="1" ht="22.5">
      <c r="B271" s="1298"/>
      <c r="C271" s="1291" t="s">
        <v>652</v>
      </c>
      <c r="D271" s="1290"/>
      <c r="E271" s="1291" t="s">
        <v>653</v>
      </c>
      <c r="F271" s="1292">
        <v>308072805</v>
      </c>
    </row>
    <row r="272" spans="2:6" s="1280" customFormat="1" ht="22.5">
      <c r="B272" s="1298"/>
      <c r="C272" s="1291" t="s">
        <v>654</v>
      </c>
      <c r="D272" s="1290"/>
      <c r="E272" s="1290" t="s">
        <v>655</v>
      </c>
      <c r="F272" s="1292">
        <v>118912859</v>
      </c>
    </row>
    <row r="273" spans="2:6" s="1280" customFormat="1" ht="22.5">
      <c r="B273" s="1298"/>
      <c r="C273" s="1291" t="s">
        <v>656</v>
      </c>
      <c r="D273" s="1290"/>
      <c r="E273" s="1290" t="s">
        <v>657</v>
      </c>
      <c r="F273" s="1292">
        <v>153096326</v>
      </c>
    </row>
    <row r="274" spans="2:6" s="1280" customFormat="1">
      <c r="B274" s="1298"/>
      <c r="C274" s="1290" t="s">
        <v>658</v>
      </c>
      <c r="D274" s="1290"/>
      <c r="E274" s="1290" t="s">
        <v>659</v>
      </c>
      <c r="F274" s="1292">
        <v>438665194</v>
      </c>
    </row>
    <row r="275" spans="2:6" s="1280" customFormat="1" ht="22.5">
      <c r="B275" s="1298"/>
      <c r="C275" s="1290" t="s">
        <v>660</v>
      </c>
      <c r="D275" s="1290"/>
      <c r="E275" s="1291" t="s">
        <v>661</v>
      </c>
      <c r="F275" s="1292">
        <v>74169802</v>
      </c>
    </row>
    <row r="276" spans="2:6" s="1280" customFormat="1" ht="22.5">
      <c r="B276" s="1298"/>
      <c r="C276" s="1290" t="s">
        <v>662</v>
      </c>
      <c r="D276" s="1290"/>
      <c r="E276" s="1291" t="s">
        <v>663</v>
      </c>
      <c r="F276" s="1292">
        <v>1556164908</v>
      </c>
    </row>
    <row r="277" spans="2:6" s="1280" customFormat="1">
      <c r="B277" s="1298"/>
      <c r="C277" s="1290" t="s">
        <v>664</v>
      </c>
      <c r="D277" s="1290"/>
      <c r="E277" s="1290" t="s">
        <v>665</v>
      </c>
      <c r="F277" s="1292">
        <v>64363276</v>
      </c>
    </row>
    <row r="278" spans="2:6" s="1280" customFormat="1">
      <c r="B278" s="1298"/>
      <c r="C278" s="1290" t="s">
        <v>666</v>
      </c>
      <c r="D278" s="1290"/>
      <c r="E278" s="1290" t="s">
        <v>667</v>
      </c>
      <c r="F278" s="1292">
        <v>255623945</v>
      </c>
    </row>
    <row r="279" spans="2:6" s="1280" customFormat="1">
      <c r="B279" s="1298"/>
      <c r="C279" s="1290" t="s">
        <v>668</v>
      </c>
      <c r="D279" s="1290"/>
      <c r="E279" s="1290" t="s">
        <v>669</v>
      </c>
      <c r="F279" s="1292">
        <v>1035119924</v>
      </c>
    </row>
    <row r="280" spans="2:6" s="1280" customFormat="1">
      <c r="B280" s="1298"/>
      <c r="C280" s="1291" t="s">
        <v>670</v>
      </c>
      <c r="D280" s="1290"/>
      <c r="E280" s="1290" t="s">
        <v>671</v>
      </c>
      <c r="F280" s="1292">
        <v>574490932</v>
      </c>
    </row>
    <row r="281" spans="2:6" s="1280" customFormat="1" ht="22.5">
      <c r="B281" s="1298"/>
      <c r="C281" s="1291" t="s">
        <v>672</v>
      </c>
      <c r="D281" s="1290"/>
      <c r="E281" s="1290" t="s">
        <v>673</v>
      </c>
      <c r="F281" s="1292">
        <v>3058635041</v>
      </c>
    </row>
    <row r="282" spans="2:6" s="1280" customFormat="1" ht="22.5">
      <c r="B282" s="1298"/>
      <c r="C282" s="1290" t="s">
        <v>674</v>
      </c>
      <c r="D282" s="1290"/>
      <c r="E282" s="1291" t="s">
        <v>675</v>
      </c>
      <c r="F282" s="1292">
        <v>960119493</v>
      </c>
    </row>
    <row r="283" spans="2:6" s="1280" customFormat="1">
      <c r="B283" s="1298"/>
      <c r="C283" s="1290" t="s">
        <v>676</v>
      </c>
      <c r="D283" s="1290"/>
      <c r="E283" s="1290" t="s">
        <v>677</v>
      </c>
      <c r="F283" s="1292">
        <v>182336790</v>
      </c>
    </row>
    <row r="284" spans="2:6" s="1280" customFormat="1">
      <c r="B284" s="1298"/>
      <c r="C284" s="1290" t="s">
        <v>678</v>
      </c>
      <c r="D284" s="1290"/>
      <c r="E284" s="1290" t="s">
        <v>679</v>
      </c>
      <c r="F284" s="1292">
        <v>2204916.7200000002</v>
      </c>
    </row>
    <row r="285" spans="2:6" s="1280" customFormat="1">
      <c r="B285" s="1298"/>
      <c r="C285" s="1290" t="s">
        <v>680</v>
      </c>
      <c r="D285" s="1290"/>
      <c r="E285" s="1290" t="s">
        <v>681</v>
      </c>
      <c r="F285" s="1292">
        <v>8454416</v>
      </c>
    </row>
    <row r="286" spans="2:6" s="1280" customFormat="1">
      <c r="B286" s="1298"/>
      <c r="C286" s="1290" t="s">
        <v>682</v>
      </c>
      <c r="D286" s="1290"/>
      <c r="E286" s="1290" t="s">
        <v>683</v>
      </c>
      <c r="F286" s="1292">
        <v>6371405</v>
      </c>
    </row>
    <row r="287" spans="2:6" s="1280" customFormat="1">
      <c r="B287" s="1298"/>
      <c r="C287" s="1290" t="s">
        <v>684</v>
      </c>
      <c r="D287" s="1290"/>
      <c r="E287" s="1290" t="s">
        <v>685</v>
      </c>
      <c r="F287" s="1292">
        <v>2263546</v>
      </c>
    </row>
    <row r="288" spans="2:6" s="1280" customFormat="1">
      <c r="B288" s="1298"/>
      <c r="C288" s="1290" t="s">
        <v>686</v>
      </c>
      <c r="D288" s="1290"/>
      <c r="E288" s="1290" t="s">
        <v>685</v>
      </c>
      <c r="F288" s="1292">
        <v>4636</v>
      </c>
    </row>
    <row r="289" spans="2:6" s="1280" customFormat="1" ht="22.5">
      <c r="B289" s="1298"/>
      <c r="C289" s="1291" t="s">
        <v>687</v>
      </c>
      <c r="D289" s="1290"/>
      <c r="E289" s="1290" t="s">
        <v>688</v>
      </c>
      <c r="F289" s="1292">
        <v>297432688</v>
      </c>
    </row>
    <row r="290" spans="2:6" s="1280" customFormat="1">
      <c r="B290" s="1298"/>
      <c r="C290" s="1290" t="s">
        <v>689</v>
      </c>
      <c r="D290" s="1290"/>
      <c r="E290" s="1290" t="s">
        <v>690</v>
      </c>
      <c r="F290" s="1292">
        <v>139352202</v>
      </c>
    </row>
    <row r="291" spans="2:6" s="1280" customFormat="1">
      <c r="B291" s="1298"/>
      <c r="C291" s="1290" t="s">
        <v>691</v>
      </c>
      <c r="D291" s="1290"/>
      <c r="E291" s="1290" t="s">
        <v>692</v>
      </c>
      <c r="F291" s="1292">
        <v>50788952</v>
      </c>
    </row>
    <row r="292" spans="2:6" s="1280" customFormat="1" ht="22.5">
      <c r="B292" s="1298"/>
      <c r="C292" s="1290" t="s">
        <v>693</v>
      </c>
      <c r="D292" s="1290"/>
      <c r="E292" s="1291" t="s">
        <v>694</v>
      </c>
      <c r="F292" s="1292">
        <v>200756847</v>
      </c>
    </row>
    <row r="293" spans="2:6" s="1280" customFormat="1" ht="22.5">
      <c r="B293" s="1298"/>
      <c r="C293" s="1290" t="s">
        <v>695</v>
      </c>
      <c r="D293" s="1290"/>
      <c r="E293" s="1291" t="s">
        <v>696</v>
      </c>
      <c r="F293" s="1292">
        <v>315781142</v>
      </c>
    </row>
    <row r="294" spans="2:6" s="1280" customFormat="1" ht="22.5">
      <c r="B294" s="1289">
        <v>43220</v>
      </c>
      <c r="C294" s="1291" t="s">
        <v>693</v>
      </c>
      <c r="D294" s="1291" t="s">
        <v>697</v>
      </c>
      <c r="E294" s="1291" t="s">
        <v>698</v>
      </c>
      <c r="F294" s="1292">
        <v>53256600</v>
      </c>
    </row>
    <row r="295" spans="2:6" s="1280" customFormat="1" ht="22.5">
      <c r="B295" s="1289">
        <v>43250</v>
      </c>
      <c r="C295" s="1291" t="s">
        <v>699</v>
      </c>
      <c r="D295" s="1291" t="s">
        <v>700</v>
      </c>
      <c r="E295" s="1291" t="s">
        <v>701</v>
      </c>
      <c r="F295" s="1292">
        <v>7681000</v>
      </c>
    </row>
    <row r="296" spans="2:6" s="1280" customFormat="1" ht="22.5">
      <c r="B296" s="1289">
        <v>43371</v>
      </c>
      <c r="C296" s="1291" t="s">
        <v>702</v>
      </c>
      <c r="D296" s="1291" t="s">
        <v>703</v>
      </c>
      <c r="E296" s="1290" t="s">
        <v>704</v>
      </c>
      <c r="F296" s="1292">
        <v>81553900</v>
      </c>
    </row>
    <row r="297" spans="2:6" s="1280" customFormat="1" ht="22.5">
      <c r="B297" s="1289">
        <v>43404</v>
      </c>
      <c r="C297" s="1291" t="s">
        <v>705</v>
      </c>
      <c r="D297" s="1291" t="s">
        <v>706</v>
      </c>
      <c r="E297" s="1291" t="s">
        <v>707</v>
      </c>
      <c r="F297" s="1292">
        <v>11035652</v>
      </c>
    </row>
    <row r="298" spans="2:6" s="1280" customFormat="1" ht="22.5">
      <c r="B298" s="1289">
        <v>43445</v>
      </c>
      <c r="C298" s="1290" t="s">
        <v>708</v>
      </c>
      <c r="D298" s="1291" t="s">
        <v>709</v>
      </c>
      <c r="E298" s="1291" t="s">
        <v>710</v>
      </c>
      <c r="F298" s="1292">
        <v>37128000</v>
      </c>
    </row>
    <row r="299" spans="2:6" s="1280" customFormat="1" ht="22.5">
      <c r="B299" s="1289">
        <v>43446</v>
      </c>
      <c r="C299" s="1290" t="s">
        <v>711</v>
      </c>
      <c r="D299" s="1291" t="s">
        <v>712</v>
      </c>
      <c r="E299" s="1291" t="s">
        <v>713</v>
      </c>
      <c r="F299" s="1292">
        <v>15167000</v>
      </c>
    </row>
    <row r="300" spans="2:6" s="1280" customFormat="1" ht="22.5">
      <c r="B300" s="1301"/>
      <c r="C300" s="1290" t="s">
        <v>714</v>
      </c>
      <c r="D300" s="1291" t="s">
        <v>715</v>
      </c>
      <c r="E300" s="1291" t="s">
        <v>716</v>
      </c>
      <c r="F300" s="1292">
        <v>13969000</v>
      </c>
    </row>
    <row r="301" spans="2:6" s="1280" customFormat="1" ht="22.5">
      <c r="B301" s="1289">
        <v>43447</v>
      </c>
      <c r="C301" s="1290" t="s">
        <v>717</v>
      </c>
      <c r="D301" s="1291" t="s">
        <v>718</v>
      </c>
      <c r="E301" s="1291" t="s">
        <v>719</v>
      </c>
      <c r="F301" s="1292">
        <v>1200000</v>
      </c>
    </row>
    <row r="302" spans="2:6" s="1280" customFormat="1" ht="22.5">
      <c r="B302" s="1301"/>
      <c r="C302" s="1291" t="s">
        <v>720</v>
      </c>
      <c r="D302" s="1291" t="s">
        <v>721</v>
      </c>
      <c r="E302" s="1291" t="s">
        <v>722</v>
      </c>
      <c r="F302" s="1292">
        <v>27000000</v>
      </c>
    </row>
    <row r="303" spans="2:6" s="1280" customFormat="1" ht="22.5">
      <c r="B303" s="1289">
        <v>43451</v>
      </c>
      <c r="C303" s="1291" t="s">
        <v>723</v>
      </c>
      <c r="D303" s="1291" t="s">
        <v>724</v>
      </c>
      <c r="E303" s="1291" t="s">
        <v>725</v>
      </c>
      <c r="F303" s="1292">
        <v>10560000</v>
      </c>
    </row>
    <row r="304" spans="2:6" s="1280" customFormat="1" ht="22.5">
      <c r="B304" s="1301"/>
      <c r="C304" s="1291" t="s">
        <v>726</v>
      </c>
      <c r="D304" s="1291" t="s">
        <v>727</v>
      </c>
      <c r="E304" s="1291" t="s">
        <v>728</v>
      </c>
      <c r="F304" s="1292">
        <v>65970000</v>
      </c>
    </row>
    <row r="305" spans="2:6" s="1280" customFormat="1" ht="22.5">
      <c r="B305" s="1302"/>
      <c r="C305" s="1295" t="s">
        <v>729</v>
      </c>
      <c r="D305" s="1295" t="s">
        <v>730</v>
      </c>
      <c r="E305" s="1295" t="s">
        <v>731</v>
      </c>
      <c r="F305" s="1296">
        <v>24080000</v>
      </c>
    </row>
    <row r="306" spans="2:6" s="1280" customFormat="1" ht="22.5">
      <c r="B306" s="1301"/>
      <c r="C306" s="1291" t="s">
        <v>732</v>
      </c>
      <c r="D306" s="1291" t="s">
        <v>733</v>
      </c>
      <c r="E306" s="1291" t="s">
        <v>734</v>
      </c>
      <c r="F306" s="1292">
        <v>3940000</v>
      </c>
    </row>
    <row r="307" spans="2:6" s="1280" customFormat="1" ht="22.5">
      <c r="B307" s="1289">
        <v>43452</v>
      </c>
      <c r="C307" s="1291" t="s">
        <v>735</v>
      </c>
      <c r="D307" s="1291" t="s">
        <v>736</v>
      </c>
      <c r="E307" s="1291" t="s">
        <v>737</v>
      </c>
      <c r="F307" s="1292">
        <v>8646000</v>
      </c>
    </row>
    <row r="308" spans="2:6" s="1280" customFormat="1" ht="22.5">
      <c r="B308" s="1301"/>
      <c r="C308" s="1291" t="s">
        <v>738</v>
      </c>
      <c r="D308" s="1291" t="s">
        <v>739</v>
      </c>
      <c r="E308" s="1291" t="s">
        <v>740</v>
      </c>
      <c r="F308" s="1292">
        <v>25850000</v>
      </c>
    </row>
    <row r="309" spans="2:6" s="1280" customFormat="1" ht="22.5">
      <c r="B309" s="1301"/>
      <c r="C309" s="1291" t="s">
        <v>741</v>
      </c>
      <c r="D309" s="1291" t="s">
        <v>742</v>
      </c>
      <c r="E309" s="1291" t="s">
        <v>743</v>
      </c>
      <c r="F309" s="1292">
        <v>29820000</v>
      </c>
    </row>
    <row r="310" spans="2:6" s="1280" customFormat="1" ht="22.5">
      <c r="B310" s="1301"/>
      <c r="C310" s="1291" t="s">
        <v>744</v>
      </c>
      <c r="D310" s="1291" t="s">
        <v>745</v>
      </c>
      <c r="E310" s="1291" t="s">
        <v>746</v>
      </c>
      <c r="F310" s="1292">
        <v>14875000</v>
      </c>
    </row>
    <row r="311" spans="2:6" s="1280" customFormat="1" ht="22.5">
      <c r="B311" s="1301"/>
      <c r="C311" s="1290" t="s">
        <v>747</v>
      </c>
      <c r="D311" s="1291" t="s">
        <v>748</v>
      </c>
      <c r="E311" s="1290" t="s">
        <v>749</v>
      </c>
      <c r="F311" s="1292">
        <v>15304669</v>
      </c>
    </row>
    <row r="312" spans="2:6" s="1280" customFormat="1" ht="22.5">
      <c r="B312" s="1301"/>
      <c r="C312" s="1290" t="s">
        <v>750</v>
      </c>
      <c r="D312" s="1291" t="s">
        <v>751</v>
      </c>
      <c r="E312" s="1290" t="s">
        <v>752</v>
      </c>
      <c r="F312" s="1292">
        <v>8484130</v>
      </c>
    </row>
    <row r="313" spans="2:6" s="1280" customFormat="1" ht="22.5">
      <c r="B313" s="1301"/>
      <c r="C313" s="1290" t="s">
        <v>753</v>
      </c>
      <c r="D313" s="1291" t="s">
        <v>754</v>
      </c>
      <c r="E313" s="1290" t="s">
        <v>752</v>
      </c>
      <c r="F313" s="1292">
        <v>589700</v>
      </c>
    </row>
    <row r="314" spans="2:6" s="1280" customFormat="1" ht="22.5">
      <c r="B314" s="1301"/>
      <c r="C314" s="1290" t="s">
        <v>755</v>
      </c>
      <c r="D314" s="1291" t="s">
        <v>756</v>
      </c>
      <c r="E314" s="1290" t="s">
        <v>752</v>
      </c>
      <c r="F314" s="1292">
        <v>7554809</v>
      </c>
    </row>
    <row r="315" spans="2:6" s="1280" customFormat="1" ht="22.5">
      <c r="B315" s="1301"/>
      <c r="C315" s="1290" t="s">
        <v>757</v>
      </c>
      <c r="D315" s="1291" t="s">
        <v>758</v>
      </c>
      <c r="E315" s="1290" t="s">
        <v>752</v>
      </c>
      <c r="F315" s="1292">
        <v>397873</v>
      </c>
    </row>
    <row r="316" spans="2:6" s="1280" customFormat="1" ht="22.5">
      <c r="B316" s="1301"/>
      <c r="C316" s="1290" t="s">
        <v>759</v>
      </c>
      <c r="D316" s="1291" t="s">
        <v>760</v>
      </c>
      <c r="E316" s="1290" t="s">
        <v>752</v>
      </c>
      <c r="F316" s="1292">
        <v>263600</v>
      </c>
    </row>
    <row r="317" spans="2:6" s="1280" customFormat="1" ht="22.5">
      <c r="B317" s="1301"/>
      <c r="C317" s="1290" t="s">
        <v>761</v>
      </c>
      <c r="D317" s="1291" t="s">
        <v>762</v>
      </c>
      <c r="E317" s="1290" t="s">
        <v>752</v>
      </c>
      <c r="F317" s="1292">
        <v>11998650</v>
      </c>
    </row>
    <row r="318" spans="2:6" s="1280" customFormat="1" ht="22.5">
      <c r="B318" s="1301"/>
      <c r="C318" s="1290" t="s">
        <v>763</v>
      </c>
      <c r="D318" s="1291" t="s">
        <v>764</v>
      </c>
      <c r="E318" s="1290" t="s">
        <v>752</v>
      </c>
      <c r="F318" s="1292">
        <v>2924000</v>
      </c>
    </row>
    <row r="319" spans="2:6" s="1280" customFormat="1" ht="22.5">
      <c r="B319" s="1301"/>
      <c r="C319" s="1290" t="s">
        <v>765</v>
      </c>
      <c r="D319" s="1291" t="s">
        <v>766</v>
      </c>
      <c r="E319" s="1290" t="s">
        <v>752</v>
      </c>
      <c r="F319" s="1292">
        <v>9249150</v>
      </c>
    </row>
    <row r="320" spans="2:6" s="1280" customFormat="1">
      <c r="B320" s="1293"/>
      <c r="C320" s="1290"/>
      <c r="D320" s="1290"/>
      <c r="E320" s="1290"/>
      <c r="F320" s="1293"/>
    </row>
    <row r="321" spans="2:6" s="1281" customFormat="1">
      <c r="B321" s="1977" t="s">
        <v>9</v>
      </c>
      <c r="C321" s="1978"/>
      <c r="D321" s="1978"/>
      <c r="E321" s="1979"/>
      <c r="F321" s="1303">
        <f>SUM(F8:F319)</f>
        <v>26111208683.720001</v>
      </c>
    </row>
    <row r="322" spans="2:6" s="1280" customFormat="1">
      <c r="C322" s="1304"/>
      <c r="D322" s="1304"/>
      <c r="E322" s="1304"/>
    </row>
    <row r="323" spans="2:6" s="1280" customFormat="1">
      <c r="C323" s="1304"/>
      <c r="D323" s="1304"/>
      <c r="E323" s="1304"/>
      <c r="F323" s="1305"/>
    </row>
    <row r="324" spans="2:6" s="1280" customFormat="1">
      <c r="C324" s="1304"/>
      <c r="D324" s="1304"/>
      <c r="E324" s="1304"/>
      <c r="F324" s="1305"/>
    </row>
    <row r="325" spans="2:6" s="1280" customFormat="1">
      <c r="C325" s="1304"/>
      <c r="D325" s="1304"/>
      <c r="E325" s="1304"/>
      <c r="F325" s="1305"/>
    </row>
    <row r="326" spans="2:6" s="1280" customFormat="1">
      <c r="C326" s="1304"/>
      <c r="D326" s="1304"/>
      <c r="E326" s="1304"/>
      <c r="F326" s="1305"/>
    </row>
    <row r="327" spans="2:6" s="1280" customFormat="1">
      <c r="C327" s="1304"/>
      <c r="D327" s="1304"/>
      <c r="E327" s="1304"/>
      <c r="F327" s="1305"/>
    </row>
    <row r="328" spans="2:6" s="1280" customFormat="1">
      <c r="C328" s="1304"/>
      <c r="D328" s="1304"/>
      <c r="E328" s="1304"/>
    </row>
    <row r="329" spans="2:6" s="1280" customFormat="1">
      <c r="C329" s="1304"/>
      <c r="D329" s="1304"/>
      <c r="E329" s="1304"/>
    </row>
    <row r="330" spans="2:6" s="1280" customFormat="1">
      <c r="C330" s="1304"/>
      <c r="D330" s="1304"/>
      <c r="E330" s="1304"/>
    </row>
    <row r="331" spans="2:6" s="1280" customFormat="1">
      <c r="C331" s="1304"/>
      <c r="D331" s="1304"/>
      <c r="E331" s="1304"/>
    </row>
    <row r="332" spans="2:6" s="1280" customFormat="1">
      <c r="C332" s="1304"/>
      <c r="D332" s="1304"/>
      <c r="E332" s="1304"/>
    </row>
    <row r="333" spans="2:6" s="1280" customFormat="1">
      <c r="C333" s="1304"/>
      <c r="D333" s="1304"/>
      <c r="E333" s="1304"/>
    </row>
    <row r="334" spans="2:6" s="1280" customFormat="1">
      <c r="C334" s="1304"/>
      <c r="D334" s="1304"/>
      <c r="E334" s="1304"/>
    </row>
    <row r="335" spans="2:6" s="1280" customFormat="1">
      <c r="C335" s="1304"/>
      <c r="D335" s="1304"/>
      <c r="E335" s="1304"/>
    </row>
    <row r="336" spans="2:6" s="1280" customFormat="1">
      <c r="C336" s="1304"/>
      <c r="D336" s="1304"/>
      <c r="E336" s="1304"/>
    </row>
    <row r="337" spans="3:5" s="1280" customFormat="1">
      <c r="C337" s="1304"/>
      <c r="D337" s="1304"/>
      <c r="E337" s="1304"/>
    </row>
    <row r="338" spans="3:5" s="1280" customFormat="1">
      <c r="C338" s="1304"/>
      <c r="D338" s="1304"/>
      <c r="E338" s="1304"/>
    </row>
    <row r="339" spans="3:5" s="1280" customFormat="1">
      <c r="C339" s="1304"/>
      <c r="D339" s="1304"/>
      <c r="E339" s="1304"/>
    </row>
    <row r="340" spans="3:5" s="1280" customFormat="1">
      <c r="C340" s="1304"/>
      <c r="D340" s="1304"/>
      <c r="E340" s="1304"/>
    </row>
    <row r="341" spans="3:5" s="1280" customFormat="1">
      <c r="C341" s="1304"/>
      <c r="D341" s="1304"/>
      <c r="E341" s="1304"/>
    </row>
    <row r="342" spans="3:5" s="1280" customFormat="1">
      <c r="C342" s="1304"/>
      <c r="D342" s="1304"/>
      <c r="E342" s="1304"/>
    </row>
    <row r="343" spans="3:5" s="1280" customFormat="1">
      <c r="C343" s="1304"/>
      <c r="D343" s="1304"/>
      <c r="E343" s="1304"/>
    </row>
    <row r="344" spans="3:5" s="1280" customFormat="1">
      <c r="C344" s="1304"/>
      <c r="D344" s="1304"/>
      <c r="E344" s="1304"/>
    </row>
    <row r="345" spans="3:5" s="1280" customFormat="1">
      <c r="C345" s="1304"/>
      <c r="D345" s="1304"/>
      <c r="E345" s="1304"/>
    </row>
    <row r="346" spans="3:5" s="1280" customFormat="1">
      <c r="C346" s="1304"/>
      <c r="D346" s="1304"/>
      <c r="E346" s="1304"/>
    </row>
    <row r="347" spans="3:5" s="1280" customFormat="1">
      <c r="C347" s="1304"/>
      <c r="D347" s="1304"/>
      <c r="E347" s="1304"/>
    </row>
    <row r="348" spans="3:5" s="1280" customFormat="1">
      <c r="C348" s="1304"/>
      <c r="D348" s="1304"/>
      <c r="E348" s="1304"/>
    </row>
    <row r="349" spans="3:5" s="1280" customFormat="1">
      <c r="C349" s="1304"/>
      <c r="D349" s="1304"/>
      <c r="E349" s="1304"/>
    </row>
    <row r="350" spans="3:5" s="1280" customFormat="1">
      <c r="C350" s="1304"/>
      <c r="D350" s="1304"/>
      <c r="E350" s="1304"/>
    </row>
    <row r="351" spans="3:5" s="1280" customFormat="1">
      <c r="C351" s="1304"/>
      <c r="D351" s="1304"/>
      <c r="E351" s="1304"/>
    </row>
    <row r="352" spans="3:5" s="1280" customFormat="1">
      <c r="C352" s="1304"/>
      <c r="D352" s="1304"/>
      <c r="E352" s="1304"/>
    </row>
    <row r="353" spans="3:5" s="1280" customFormat="1">
      <c r="C353" s="1304"/>
      <c r="D353" s="1304"/>
      <c r="E353" s="1304"/>
    </row>
    <row r="354" spans="3:5" s="1280" customFormat="1">
      <c r="C354" s="1304"/>
      <c r="D354" s="1304"/>
      <c r="E354" s="1304"/>
    </row>
    <row r="355" spans="3:5" s="1280" customFormat="1">
      <c r="C355" s="1304"/>
      <c r="D355" s="1304"/>
      <c r="E355" s="1304"/>
    </row>
    <row r="356" spans="3:5" s="1280" customFormat="1">
      <c r="C356" s="1304"/>
      <c r="D356" s="1304"/>
      <c r="E356" s="1304"/>
    </row>
    <row r="357" spans="3:5" s="1280" customFormat="1">
      <c r="C357" s="1304"/>
      <c r="D357" s="1304"/>
      <c r="E357" s="1304"/>
    </row>
    <row r="358" spans="3:5" s="1280" customFormat="1">
      <c r="C358" s="1304"/>
      <c r="D358" s="1304"/>
      <c r="E358" s="1304"/>
    </row>
    <row r="359" spans="3:5" s="1280" customFormat="1">
      <c r="C359" s="1304"/>
      <c r="D359" s="1304"/>
      <c r="E359" s="1304"/>
    </row>
    <row r="360" spans="3:5" s="1280" customFormat="1">
      <c r="C360" s="1304"/>
      <c r="D360" s="1304"/>
      <c r="E360" s="1304"/>
    </row>
    <row r="361" spans="3:5" s="1280" customFormat="1">
      <c r="C361" s="1304"/>
      <c r="D361" s="1304"/>
      <c r="E361" s="1304"/>
    </row>
    <row r="362" spans="3:5" s="1280" customFormat="1">
      <c r="C362" s="1304"/>
      <c r="D362" s="1304"/>
      <c r="E362" s="1304"/>
    </row>
    <row r="363" spans="3:5" s="1280" customFormat="1">
      <c r="C363" s="1304"/>
      <c r="D363" s="1304"/>
      <c r="E363" s="1304"/>
    </row>
    <row r="364" spans="3:5" s="1280" customFormat="1">
      <c r="C364" s="1304"/>
      <c r="D364" s="1304"/>
      <c r="E364" s="1304"/>
    </row>
    <row r="365" spans="3:5" s="1280" customFormat="1">
      <c r="C365" s="1304"/>
      <c r="D365" s="1304"/>
      <c r="E365" s="1304"/>
    </row>
    <row r="366" spans="3:5" s="1280" customFormat="1">
      <c r="C366" s="1304"/>
      <c r="D366" s="1304"/>
      <c r="E366" s="1304"/>
    </row>
    <row r="367" spans="3:5" s="1280" customFormat="1">
      <c r="C367" s="1304"/>
      <c r="D367" s="1304"/>
      <c r="E367" s="1304"/>
    </row>
    <row r="368" spans="3:5" s="1280" customFormat="1">
      <c r="C368" s="1304"/>
      <c r="D368" s="1304"/>
      <c r="E368" s="1304"/>
    </row>
    <row r="369" spans="3:5" s="1280" customFormat="1">
      <c r="C369" s="1304"/>
      <c r="D369" s="1304"/>
      <c r="E369" s="1304"/>
    </row>
    <row r="370" spans="3:5" s="1280" customFormat="1">
      <c r="C370" s="1304"/>
      <c r="D370" s="1304"/>
      <c r="E370" s="1304"/>
    </row>
    <row r="371" spans="3:5" s="1280" customFormat="1">
      <c r="C371" s="1304"/>
      <c r="D371" s="1304"/>
      <c r="E371" s="1304"/>
    </row>
    <row r="372" spans="3:5" s="1280" customFormat="1">
      <c r="C372" s="1304"/>
      <c r="D372" s="1304"/>
      <c r="E372" s="1304"/>
    </row>
    <row r="373" spans="3:5" s="1280" customFormat="1">
      <c r="C373" s="1304"/>
      <c r="D373" s="1304"/>
      <c r="E373" s="1304"/>
    </row>
    <row r="374" spans="3:5" s="1280" customFormat="1">
      <c r="C374" s="1304"/>
      <c r="D374" s="1304"/>
      <c r="E374" s="1304"/>
    </row>
    <row r="375" spans="3:5" s="1280" customFormat="1">
      <c r="C375" s="1304"/>
      <c r="D375" s="1304"/>
      <c r="E375" s="1304"/>
    </row>
    <row r="376" spans="3:5" s="1280" customFormat="1">
      <c r="C376" s="1304"/>
      <c r="D376" s="1304"/>
      <c r="E376" s="1304"/>
    </row>
    <row r="377" spans="3:5" s="1280" customFormat="1">
      <c r="C377" s="1304"/>
      <c r="D377" s="1304"/>
      <c r="E377" s="1304"/>
    </row>
    <row r="378" spans="3:5" s="1280" customFormat="1">
      <c r="C378" s="1304"/>
      <c r="D378" s="1304"/>
      <c r="E378" s="1304"/>
    </row>
    <row r="379" spans="3:5" s="1280" customFormat="1">
      <c r="C379" s="1304"/>
      <c r="D379" s="1304"/>
      <c r="E379" s="1304"/>
    </row>
    <row r="380" spans="3:5" s="1280" customFormat="1">
      <c r="C380" s="1304"/>
      <c r="D380" s="1304"/>
      <c r="E380" s="1304"/>
    </row>
    <row r="381" spans="3:5" s="1280" customFormat="1">
      <c r="C381" s="1304"/>
      <c r="D381" s="1304"/>
      <c r="E381" s="1304"/>
    </row>
    <row r="382" spans="3:5" s="1280" customFormat="1">
      <c r="C382" s="1304"/>
      <c r="D382" s="1304"/>
      <c r="E382" s="1304"/>
    </row>
    <row r="383" spans="3:5" s="1280" customFormat="1">
      <c r="C383" s="1304"/>
      <c r="D383" s="1304"/>
      <c r="E383" s="1304"/>
    </row>
    <row r="384" spans="3:5" s="1280" customFormat="1">
      <c r="C384" s="1304"/>
      <c r="D384" s="1304"/>
      <c r="E384" s="1304"/>
    </row>
    <row r="385" spans="3:5" s="1280" customFormat="1">
      <c r="C385" s="1304"/>
      <c r="D385" s="1304"/>
      <c r="E385" s="1304"/>
    </row>
    <row r="386" spans="3:5" s="1280" customFormat="1">
      <c r="C386" s="1304"/>
      <c r="D386" s="1304"/>
      <c r="E386" s="1304"/>
    </row>
    <row r="387" spans="3:5" s="1280" customFormat="1">
      <c r="C387" s="1304"/>
      <c r="D387" s="1304"/>
      <c r="E387" s="1304"/>
    </row>
    <row r="388" spans="3:5" s="1280" customFormat="1">
      <c r="C388" s="1304"/>
      <c r="D388" s="1304"/>
      <c r="E388" s="1304"/>
    </row>
    <row r="389" spans="3:5" s="1280" customFormat="1">
      <c r="C389" s="1304"/>
      <c r="D389" s="1304"/>
      <c r="E389" s="1304"/>
    </row>
    <row r="390" spans="3:5" s="1280" customFormat="1">
      <c r="C390" s="1304"/>
      <c r="D390" s="1304"/>
      <c r="E390" s="1304"/>
    </row>
    <row r="391" spans="3:5" s="1280" customFormat="1">
      <c r="C391" s="1304"/>
      <c r="D391" s="1304"/>
      <c r="E391" s="1304"/>
    </row>
    <row r="392" spans="3:5" s="1280" customFormat="1">
      <c r="C392" s="1304"/>
      <c r="D392" s="1304"/>
      <c r="E392" s="1304"/>
    </row>
    <row r="393" spans="3:5" s="1280" customFormat="1">
      <c r="C393" s="1304"/>
      <c r="D393" s="1304"/>
      <c r="E393" s="1304"/>
    </row>
    <row r="394" spans="3:5" s="1280" customFormat="1">
      <c r="C394" s="1304"/>
      <c r="D394" s="1304"/>
      <c r="E394" s="1304"/>
    </row>
  </sheetData>
  <mergeCells count="9">
    <mergeCell ref="B2:F2"/>
    <mergeCell ref="B3:F3"/>
    <mergeCell ref="B4:F4"/>
    <mergeCell ref="B321:E321"/>
    <mergeCell ref="B6:B7"/>
    <mergeCell ref="C6:C7"/>
    <mergeCell ref="D6:D7"/>
    <mergeCell ref="E6:E7"/>
    <mergeCell ref="F6:F7"/>
  </mergeCells>
  <pageMargins left="0.98402777777777795" right="0.156944444444444" top="0.39305555555555599" bottom="0.78680555555555598" header="0.27500000000000002" footer="0.62986111111111098"/>
  <pageSetup scale="75" fitToWidth="0" fitToHeight="0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00B0F0"/>
  </sheetPr>
  <dimension ref="B2:M128"/>
  <sheetViews>
    <sheetView workbookViewId="0">
      <selection activeCell="C5" sqref="C5"/>
    </sheetView>
  </sheetViews>
  <sheetFormatPr defaultColWidth="9.140625" defaultRowHeight="12.75"/>
  <cols>
    <col min="1" max="1" width="0.85546875" style="51" customWidth="1"/>
    <col min="2" max="2" width="15" style="51" customWidth="1"/>
    <col min="3" max="3" width="45.85546875" style="51" customWidth="1"/>
    <col min="4" max="4" width="7.7109375" style="51" customWidth="1"/>
    <col min="5" max="5" width="17.28515625" style="51" customWidth="1"/>
    <col min="6" max="6" width="15.42578125" style="51" customWidth="1"/>
    <col min="7" max="7" width="16" style="51" customWidth="1"/>
    <col min="8" max="8" width="18.28515625" style="51" customWidth="1"/>
    <col min="9" max="9" width="18.28515625" style="1252" customWidth="1"/>
    <col min="10" max="10" width="18.7109375" style="1252" customWidth="1"/>
    <col min="11" max="11" width="15.5703125" style="51" customWidth="1"/>
    <col min="12" max="12" width="18.7109375" style="51" customWidth="1"/>
    <col min="13" max="13" width="20.28515625" style="51" customWidth="1"/>
    <col min="14" max="16384" width="9.140625" style="51"/>
  </cols>
  <sheetData>
    <row r="2" spans="2:13" ht="15.75">
      <c r="B2" s="1982" t="s">
        <v>0</v>
      </c>
      <c r="C2" s="1982"/>
      <c r="D2" s="1982"/>
      <c r="E2" s="1982"/>
      <c r="F2" s="1982"/>
      <c r="G2" s="1982"/>
      <c r="H2" s="1982"/>
      <c r="I2" s="1272"/>
      <c r="J2" s="1272"/>
      <c r="K2" s="55"/>
      <c r="L2" s="55"/>
      <c r="M2" s="55"/>
    </row>
    <row r="3" spans="2:13" ht="15.75">
      <c r="B3" s="1982" t="s">
        <v>767</v>
      </c>
      <c r="C3" s="1982"/>
      <c r="D3" s="1982"/>
      <c r="E3" s="1982"/>
      <c r="F3" s="1982"/>
      <c r="G3" s="1982"/>
      <c r="H3" s="1982"/>
      <c r="I3" s="1272"/>
      <c r="J3" s="1272"/>
      <c r="K3" s="55"/>
      <c r="L3" s="55"/>
      <c r="M3" s="55"/>
    </row>
    <row r="4" spans="2:13" ht="15.75">
      <c r="B4" s="1982" t="s">
        <v>768</v>
      </c>
      <c r="C4" s="1982"/>
      <c r="D4" s="1982"/>
      <c r="E4" s="1982"/>
      <c r="F4" s="1982"/>
      <c r="G4" s="1982"/>
      <c r="H4" s="1982"/>
      <c r="I4" s="1272"/>
      <c r="J4" s="51"/>
      <c r="K4" s="55"/>
      <c r="L4" s="55"/>
      <c r="M4" s="55"/>
    </row>
    <row r="5" spans="2:13" ht="15.75">
      <c r="B5" s="55"/>
      <c r="C5" s="55"/>
      <c r="D5" s="55"/>
      <c r="E5" s="55"/>
      <c r="F5" s="55"/>
      <c r="G5" s="55"/>
      <c r="H5" s="459" t="s">
        <v>3</v>
      </c>
      <c r="J5" s="51"/>
      <c r="K5" s="55"/>
      <c r="L5" s="55"/>
      <c r="M5" s="55"/>
    </row>
    <row r="6" spans="2:13" ht="12.75" customHeight="1">
      <c r="B6" s="1986" t="s">
        <v>113</v>
      </c>
      <c r="C6" s="1986" t="s">
        <v>114</v>
      </c>
      <c r="D6" s="2235" t="s">
        <v>769</v>
      </c>
      <c r="E6" s="1988" t="s">
        <v>770</v>
      </c>
      <c r="F6" s="1986" t="s">
        <v>771</v>
      </c>
      <c r="G6" s="1986" t="s">
        <v>772</v>
      </c>
      <c r="H6" s="1988" t="s">
        <v>773</v>
      </c>
      <c r="I6" s="1273"/>
      <c r="J6" s="51"/>
      <c r="K6" s="1274"/>
      <c r="L6" s="1274"/>
      <c r="M6" s="1274"/>
    </row>
    <row r="7" spans="2:13" ht="18" customHeight="1">
      <c r="B7" s="1987"/>
      <c r="C7" s="1987"/>
      <c r="D7" s="2236"/>
      <c r="E7" s="1989"/>
      <c r="F7" s="1987"/>
      <c r="G7" s="1987"/>
      <c r="H7" s="1989"/>
      <c r="J7" s="51"/>
    </row>
    <row r="8" spans="2:13">
      <c r="B8" s="1253"/>
      <c r="C8" s="1254"/>
      <c r="D8" s="1254"/>
      <c r="E8" s="1254"/>
      <c r="F8" s="1255"/>
      <c r="G8" s="1255"/>
      <c r="H8" s="1255"/>
      <c r="J8" s="51"/>
    </row>
    <row r="9" spans="2:13">
      <c r="B9" s="1256" t="s">
        <v>774</v>
      </c>
      <c r="C9" s="1257" t="s">
        <v>775</v>
      </c>
      <c r="D9" s="1258"/>
      <c r="E9" s="1259">
        <v>1550351407.53</v>
      </c>
      <c r="F9" s="1260"/>
      <c r="G9" s="1261"/>
      <c r="H9" s="1261"/>
      <c r="I9" s="1273"/>
      <c r="J9" s="51"/>
    </row>
    <row r="10" spans="2:13" ht="10.5" customHeight="1">
      <c r="B10" s="1262" t="s">
        <v>776</v>
      </c>
      <c r="C10" s="1258"/>
      <c r="D10" s="1258"/>
      <c r="E10" s="1258"/>
      <c r="F10" s="1261"/>
      <c r="G10" s="1261"/>
      <c r="H10" s="1261"/>
      <c r="J10" s="51"/>
    </row>
    <row r="11" spans="2:13">
      <c r="B11" s="1263">
        <v>2018</v>
      </c>
      <c r="C11" s="1264" t="s">
        <v>777</v>
      </c>
      <c r="D11" s="1258"/>
      <c r="E11" s="1258"/>
      <c r="F11" s="1261">
        <v>958000</v>
      </c>
      <c r="G11" s="1261"/>
      <c r="H11" s="1261">
        <f t="shared" ref="H11:H37" si="0">E11+F11-G11</f>
        <v>958000</v>
      </c>
      <c r="J11" s="51"/>
    </row>
    <row r="12" spans="2:13">
      <c r="B12" s="1263">
        <v>2018</v>
      </c>
      <c r="C12" s="1265" t="s">
        <v>778</v>
      </c>
      <c r="D12" s="1258"/>
      <c r="E12" s="1258"/>
      <c r="F12" s="1261">
        <v>2324000</v>
      </c>
      <c r="G12" s="1261"/>
      <c r="H12" s="1261">
        <f t="shared" si="0"/>
        <v>2324000</v>
      </c>
      <c r="J12" s="51"/>
    </row>
    <row r="13" spans="2:13">
      <c r="B13" s="1263">
        <v>2018</v>
      </c>
      <c r="C13" s="1265" t="s">
        <v>779</v>
      </c>
      <c r="D13" s="1258"/>
      <c r="E13" s="1258"/>
      <c r="F13" s="1261">
        <v>1509750</v>
      </c>
      <c r="G13" s="1261"/>
      <c r="H13" s="1261">
        <f t="shared" si="0"/>
        <v>1509750</v>
      </c>
      <c r="J13" s="51"/>
    </row>
    <row r="14" spans="2:13">
      <c r="B14" s="1263">
        <v>2018</v>
      </c>
      <c r="C14" s="1265" t="s">
        <v>780</v>
      </c>
      <c r="D14" s="1258"/>
      <c r="E14" s="1258"/>
      <c r="F14" s="1261">
        <v>1645000</v>
      </c>
      <c r="G14" s="1261"/>
      <c r="H14" s="1261">
        <f t="shared" si="0"/>
        <v>1645000</v>
      </c>
      <c r="J14" s="51"/>
    </row>
    <row r="15" spans="2:13">
      <c r="B15" s="1263">
        <v>2018</v>
      </c>
      <c r="C15" s="1265" t="s">
        <v>780</v>
      </c>
      <c r="D15" s="1258"/>
      <c r="E15" s="1258"/>
      <c r="F15" s="1261">
        <v>922000</v>
      </c>
      <c r="G15" s="1261"/>
      <c r="H15" s="1261">
        <f t="shared" si="0"/>
        <v>922000</v>
      </c>
      <c r="J15" s="51"/>
    </row>
    <row r="16" spans="2:13">
      <c r="B16" s="1263">
        <v>2018</v>
      </c>
      <c r="C16" s="1265" t="s">
        <v>781</v>
      </c>
      <c r="D16" s="1258"/>
      <c r="E16" s="1258"/>
      <c r="F16" s="1261">
        <v>2857750</v>
      </c>
      <c r="G16" s="1261"/>
      <c r="H16" s="1261">
        <f t="shared" si="0"/>
        <v>2857750</v>
      </c>
      <c r="J16" s="51"/>
    </row>
    <row r="17" spans="2:10">
      <c r="B17" s="1263">
        <v>2018</v>
      </c>
      <c r="C17" s="1265" t="s">
        <v>782</v>
      </c>
      <c r="D17" s="1258"/>
      <c r="E17" s="1258"/>
      <c r="F17" s="1261">
        <v>2844000</v>
      </c>
      <c r="G17" s="1261"/>
      <c r="H17" s="1261">
        <f t="shared" si="0"/>
        <v>2844000</v>
      </c>
      <c r="J17" s="51"/>
    </row>
    <row r="18" spans="2:10">
      <c r="B18" s="1263">
        <v>2018</v>
      </c>
      <c r="C18" s="1265" t="s">
        <v>783</v>
      </c>
      <c r="D18" s="1258"/>
      <c r="E18" s="1258"/>
      <c r="F18" s="1261">
        <v>594000</v>
      </c>
      <c r="G18" s="1261"/>
      <c r="H18" s="1261">
        <f t="shared" si="0"/>
        <v>594000</v>
      </c>
      <c r="J18" s="51"/>
    </row>
    <row r="19" spans="2:10">
      <c r="B19" s="1263">
        <v>2018</v>
      </c>
      <c r="C19" s="1265" t="s">
        <v>784</v>
      </c>
      <c r="D19" s="1258"/>
      <c r="E19" s="1258"/>
      <c r="F19" s="1261">
        <v>6680000</v>
      </c>
      <c r="G19" s="1261"/>
      <c r="H19" s="1261">
        <f t="shared" si="0"/>
        <v>6680000</v>
      </c>
      <c r="J19" s="51"/>
    </row>
    <row r="20" spans="2:10">
      <c r="B20" s="1263">
        <v>2018</v>
      </c>
      <c r="C20" s="1265" t="s">
        <v>785</v>
      </c>
      <c r="D20" s="1258"/>
      <c r="E20" s="1258"/>
      <c r="F20" s="1261">
        <v>479000</v>
      </c>
      <c r="G20" s="1261"/>
      <c r="H20" s="1261">
        <f t="shared" si="0"/>
        <v>479000</v>
      </c>
      <c r="J20" s="51"/>
    </row>
    <row r="21" spans="2:10">
      <c r="B21" s="1263">
        <v>2018</v>
      </c>
      <c r="C21" s="1265" t="s">
        <v>786</v>
      </c>
      <c r="D21" s="1258"/>
      <c r="E21" s="1258"/>
      <c r="F21" s="1261">
        <v>572500</v>
      </c>
      <c r="G21" s="1261"/>
      <c r="H21" s="1261">
        <f t="shared" si="0"/>
        <v>572500</v>
      </c>
      <c r="J21" s="51"/>
    </row>
    <row r="22" spans="2:10">
      <c r="B22" s="1263">
        <v>2018</v>
      </c>
      <c r="C22" s="1265" t="s">
        <v>787</v>
      </c>
      <c r="D22" s="1258"/>
      <c r="E22" s="1258"/>
      <c r="F22" s="1261">
        <v>820000</v>
      </c>
      <c r="G22" s="1261"/>
      <c r="H22" s="1261">
        <f t="shared" si="0"/>
        <v>820000</v>
      </c>
      <c r="J22" s="51"/>
    </row>
    <row r="23" spans="2:10">
      <c r="B23" s="1263">
        <v>2018</v>
      </c>
      <c r="C23" s="1265" t="s">
        <v>787</v>
      </c>
      <c r="D23" s="1258"/>
      <c r="E23" s="1258"/>
      <c r="F23" s="1261">
        <v>7368500</v>
      </c>
      <c r="G23" s="1261"/>
      <c r="H23" s="1261">
        <f t="shared" si="0"/>
        <v>7368500</v>
      </c>
      <c r="J23" s="51"/>
    </row>
    <row r="24" spans="2:10">
      <c r="B24" s="1263">
        <v>2018</v>
      </c>
      <c r="C24" s="1265" t="s">
        <v>788</v>
      </c>
      <c r="D24" s="1258"/>
      <c r="E24" s="1258"/>
      <c r="F24" s="1261">
        <v>15832000</v>
      </c>
      <c r="G24" s="1261"/>
      <c r="H24" s="1261">
        <f t="shared" si="0"/>
        <v>15832000</v>
      </c>
      <c r="J24" s="51"/>
    </row>
    <row r="25" spans="2:10">
      <c r="B25" s="1263">
        <v>2018</v>
      </c>
      <c r="C25" s="1265" t="s">
        <v>789</v>
      </c>
      <c r="D25" s="1258"/>
      <c r="E25" s="1258"/>
      <c r="F25" s="1261">
        <v>1200000</v>
      </c>
      <c r="G25" s="1261"/>
      <c r="H25" s="1261">
        <f t="shared" si="0"/>
        <v>1200000</v>
      </c>
      <c r="J25" s="51"/>
    </row>
    <row r="26" spans="2:10">
      <c r="B26" s="1263">
        <v>2018</v>
      </c>
      <c r="C26" s="1265" t="s">
        <v>790</v>
      </c>
      <c r="D26" s="1258"/>
      <c r="E26" s="1258"/>
      <c r="F26" s="1261">
        <v>1188000</v>
      </c>
      <c r="G26" s="1261"/>
      <c r="H26" s="1261">
        <f t="shared" si="0"/>
        <v>1188000</v>
      </c>
      <c r="J26" s="51"/>
    </row>
    <row r="27" spans="2:10">
      <c r="B27" s="1263">
        <v>2018</v>
      </c>
      <c r="C27" s="1265" t="s">
        <v>791</v>
      </c>
      <c r="D27" s="1258"/>
      <c r="E27" s="1258"/>
      <c r="F27" s="1261">
        <v>594000</v>
      </c>
      <c r="G27" s="1261"/>
      <c r="H27" s="1261">
        <f t="shared" si="0"/>
        <v>594000</v>
      </c>
      <c r="J27" s="51"/>
    </row>
    <row r="28" spans="2:10">
      <c r="B28" s="1263">
        <v>2018</v>
      </c>
      <c r="C28" s="1265" t="s">
        <v>792</v>
      </c>
      <c r="D28" s="1258"/>
      <c r="E28" s="1258"/>
      <c r="F28" s="1261">
        <v>594000</v>
      </c>
      <c r="G28" s="1261"/>
      <c r="H28" s="1261">
        <f t="shared" si="0"/>
        <v>594000</v>
      </c>
      <c r="J28" s="51"/>
    </row>
    <row r="29" spans="2:10">
      <c r="B29" s="1263">
        <v>2018</v>
      </c>
      <c r="C29" s="1265" t="s">
        <v>793</v>
      </c>
      <c r="D29" s="1258"/>
      <c r="E29" s="1258"/>
      <c r="F29" s="1261">
        <v>594000</v>
      </c>
      <c r="G29" s="1261"/>
      <c r="H29" s="1261">
        <f t="shared" si="0"/>
        <v>594000</v>
      </c>
      <c r="J29" s="51"/>
    </row>
    <row r="30" spans="2:10">
      <c r="B30" s="1263">
        <v>2018</v>
      </c>
      <c r="C30" s="1265" t="s">
        <v>794</v>
      </c>
      <c r="D30" s="1258"/>
      <c r="E30" s="1258"/>
      <c r="F30" s="1261">
        <v>594000</v>
      </c>
      <c r="G30" s="1261"/>
      <c r="H30" s="1261">
        <f t="shared" si="0"/>
        <v>594000</v>
      </c>
      <c r="J30" s="51"/>
    </row>
    <row r="31" spans="2:10">
      <c r="B31" s="1263">
        <v>2018</v>
      </c>
      <c r="C31" s="1265" t="s">
        <v>795</v>
      </c>
      <c r="D31" s="1258"/>
      <c r="E31" s="1258"/>
      <c r="F31" s="1261">
        <v>988750</v>
      </c>
      <c r="G31" s="1261"/>
      <c r="H31" s="1261">
        <f t="shared" si="0"/>
        <v>988750</v>
      </c>
      <c r="J31" s="51"/>
    </row>
    <row r="32" spans="2:10">
      <c r="B32" s="1263">
        <v>2018</v>
      </c>
      <c r="C32" s="1265" t="s">
        <v>796</v>
      </c>
      <c r="D32" s="1258"/>
      <c r="E32" s="1258"/>
      <c r="F32" s="1261">
        <v>988750</v>
      </c>
      <c r="G32" s="1261"/>
      <c r="H32" s="1261">
        <f t="shared" si="0"/>
        <v>988750</v>
      </c>
      <c r="J32" s="51"/>
    </row>
    <row r="33" spans="2:12">
      <c r="B33" s="1263">
        <v>2018</v>
      </c>
      <c r="C33" s="1265" t="s">
        <v>797</v>
      </c>
      <c r="D33" s="1258"/>
      <c r="E33" s="1258"/>
      <c r="F33" s="1261">
        <v>988750</v>
      </c>
      <c r="G33" s="1261"/>
      <c r="H33" s="1261">
        <f t="shared" si="0"/>
        <v>988750</v>
      </c>
      <c r="J33" s="51"/>
    </row>
    <row r="34" spans="2:12">
      <c r="B34" s="1263">
        <v>2018</v>
      </c>
      <c r="C34" s="1265" t="s">
        <v>798</v>
      </c>
      <c r="D34" s="1258"/>
      <c r="E34" s="1258"/>
      <c r="F34" s="1261">
        <v>988750</v>
      </c>
      <c r="G34" s="1261"/>
      <c r="H34" s="1261">
        <f t="shared" si="0"/>
        <v>988750</v>
      </c>
      <c r="J34" s="51"/>
    </row>
    <row r="35" spans="2:12">
      <c r="B35" s="1263">
        <v>2018</v>
      </c>
      <c r="C35" s="1265" t="s">
        <v>799</v>
      </c>
      <c r="D35" s="1258"/>
      <c r="E35" s="1258"/>
      <c r="F35" s="1261">
        <v>988750</v>
      </c>
      <c r="G35" s="1261"/>
      <c r="H35" s="1261">
        <f t="shared" si="0"/>
        <v>988750</v>
      </c>
      <c r="J35" s="51"/>
    </row>
    <row r="36" spans="2:12">
      <c r="B36" s="1263">
        <v>2018</v>
      </c>
      <c r="C36" s="1265" t="s">
        <v>800</v>
      </c>
      <c r="D36" s="1258"/>
      <c r="E36" s="1258"/>
      <c r="F36" s="1261">
        <v>988750</v>
      </c>
      <c r="G36" s="1261"/>
      <c r="H36" s="1261">
        <f t="shared" si="0"/>
        <v>988750</v>
      </c>
      <c r="J36" s="51"/>
    </row>
    <row r="37" spans="2:12">
      <c r="B37" s="1263">
        <v>2018</v>
      </c>
      <c r="C37" s="1265" t="s">
        <v>785</v>
      </c>
      <c r="D37" s="1258"/>
      <c r="E37" s="1258"/>
      <c r="F37" s="1261">
        <v>479000</v>
      </c>
      <c r="G37" s="1261"/>
      <c r="H37" s="1261">
        <f t="shared" si="0"/>
        <v>479000</v>
      </c>
      <c r="J37" s="51"/>
    </row>
    <row r="38" spans="2:12" ht="14.25" customHeight="1">
      <c r="B38" s="1262" t="s">
        <v>801</v>
      </c>
      <c r="C38" s="1258"/>
      <c r="D38" s="1258"/>
      <c r="E38" s="1258"/>
      <c r="F38" s="1261"/>
      <c r="G38" s="1261"/>
      <c r="H38" s="1261"/>
      <c r="J38" s="51"/>
    </row>
    <row r="39" spans="2:12" ht="46.5" customHeight="1">
      <c r="B39" s="1496" t="s">
        <v>802</v>
      </c>
      <c r="C39" s="1258" t="s">
        <v>803</v>
      </c>
      <c r="D39" s="1258"/>
      <c r="E39" s="1258"/>
      <c r="F39" s="1261">
        <v>3600000</v>
      </c>
      <c r="G39" s="1261"/>
      <c r="H39" s="1261">
        <f>E39+F39-G39</f>
        <v>3600000</v>
      </c>
      <c r="J39" s="51"/>
    </row>
    <row r="40" spans="2:12">
      <c r="B40" s="1266" t="s">
        <v>804</v>
      </c>
      <c r="C40" s="1265"/>
      <c r="D40" s="1258"/>
      <c r="E40" s="1258"/>
      <c r="F40" s="1261"/>
      <c r="G40" s="1261"/>
      <c r="H40" s="1261"/>
      <c r="J40" s="51"/>
    </row>
    <row r="41" spans="2:12" ht="14.25" customHeight="1">
      <c r="B41" s="1256">
        <v>2017</v>
      </c>
      <c r="C41" s="1258" t="s">
        <v>39</v>
      </c>
      <c r="D41" s="1258"/>
      <c r="E41" s="1261">
        <v>6500000</v>
      </c>
      <c r="F41" s="1258"/>
      <c r="G41" s="1261">
        <v>6500000</v>
      </c>
      <c r="H41" s="1261">
        <f>E41+F41-G41</f>
        <v>0</v>
      </c>
      <c r="J41" s="51"/>
    </row>
    <row r="42" spans="2:12" ht="12.75" customHeight="1">
      <c r="B42" s="1262" t="s">
        <v>805</v>
      </c>
      <c r="C42" s="1267"/>
      <c r="D42" s="1258"/>
      <c r="E42" s="1258"/>
      <c r="F42" s="1268"/>
      <c r="G42" s="1261"/>
      <c r="H42" s="1261"/>
      <c r="J42" s="51"/>
      <c r="K42" s="1252"/>
      <c r="L42" s="1252"/>
    </row>
    <row r="43" spans="2:12" ht="12.75" customHeight="1">
      <c r="B43" s="1262"/>
      <c r="C43" s="1267" t="s">
        <v>806</v>
      </c>
      <c r="D43" s="1258"/>
      <c r="E43" s="1258"/>
      <c r="F43" s="1268"/>
      <c r="G43" s="1261"/>
      <c r="H43" s="1261"/>
      <c r="J43" s="51"/>
      <c r="K43" s="1252"/>
      <c r="L43" s="1252"/>
    </row>
    <row r="44" spans="2:12" ht="12.75" customHeight="1">
      <c r="B44" s="1256">
        <v>2017</v>
      </c>
      <c r="C44" s="1258" t="s">
        <v>807</v>
      </c>
      <c r="D44" s="1258"/>
      <c r="E44" s="1261">
        <v>25468000</v>
      </c>
      <c r="F44" s="1268"/>
      <c r="G44" s="1261">
        <v>24000000</v>
      </c>
      <c r="H44" s="1261">
        <f t="shared" ref="H44:H76" si="1">E44+F44-G44</f>
        <v>1468000</v>
      </c>
      <c r="J44" s="51"/>
      <c r="K44" s="1252"/>
      <c r="L44" s="1252"/>
    </row>
    <row r="45" spans="2:12" ht="12.75" customHeight="1">
      <c r="B45" s="1256">
        <v>2017</v>
      </c>
      <c r="C45" s="1258" t="s">
        <v>808</v>
      </c>
      <c r="D45" s="1258"/>
      <c r="E45" s="1261">
        <v>1089100</v>
      </c>
      <c r="F45" s="1268"/>
      <c r="G45" s="1261">
        <v>1089100</v>
      </c>
      <c r="H45" s="1261">
        <f t="shared" si="1"/>
        <v>0</v>
      </c>
      <c r="J45" s="51"/>
      <c r="K45" s="1252"/>
      <c r="L45" s="1252"/>
    </row>
    <row r="46" spans="2:12" ht="12.75" customHeight="1">
      <c r="B46" s="1256">
        <v>2017</v>
      </c>
      <c r="C46" s="1258" t="s">
        <v>809</v>
      </c>
      <c r="D46" s="1258"/>
      <c r="E46" s="1261">
        <v>367000</v>
      </c>
      <c r="F46" s="1268"/>
      <c r="G46" s="1261">
        <v>367000</v>
      </c>
      <c r="H46" s="1261">
        <f t="shared" si="1"/>
        <v>0</v>
      </c>
      <c r="J46" s="51"/>
      <c r="K46" s="1252"/>
      <c r="L46" s="1252"/>
    </row>
    <row r="47" spans="2:12">
      <c r="B47" s="1256">
        <v>2017</v>
      </c>
      <c r="C47" s="1258" t="s">
        <v>810</v>
      </c>
      <c r="D47" s="1258"/>
      <c r="E47" s="1261">
        <v>71188400</v>
      </c>
      <c r="F47" s="1268"/>
      <c r="G47" s="1261">
        <v>71188400</v>
      </c>
      <c r="H47" s="1261">
        <f t="shared" si="1"/>
        <v>0</v>
      </c>
      <c r="J47" s="51"/>
      <c r="K47" s="1252"/>
      <c r="L47" s="1252"/>
    </row>
    <row r="48" spans="2:12">
      <c r="B48" s="1256">
        <v>2017</v>
      </c>
      <c r="C48" s="1258" t="s">
        <v>811</v>
      </c>
      <c r="D48" s="1258"/>
      <c r="E48" s="1261">
        <v>1004600</v>
      </c>
      <c r="F48" s="1268"/>
      <c r="G48" s="1261">
        <v>1004600</v>
      </c>
      <c r="H48" s="1261">
        <f t="shared" si="1"/>
        <v>0</v>
      </c>
      <c r="J48" s="51"/>
      <c r="K48" s="1252"/>
      <c r="L48" s="1252"/>
    </row>
    <row r="49" spans="2:12">
      <c r="B49" s="1256">
        <v>2017</v>
      </c>
      <c r="C49" s="1258" t="s">
        <v>812</v>
      </c>
      <c r="D49" s="1258"/>
      <c r="E49" s="1261">
        <v>20217600</v>
      </c>
      <c r="F49" s="1268"/>
      <c r="G49" s="1261">
        <v>20217600</v>
      </c>
      <c r="H49" s="1261">
        <f t="shared" si="1"/>
        <v>0</v>
      </c>
      <c r="J49" s="51"/>
      <c r="K49" s="1252"/>
      <c r="L49" s="1252"/>
    </row>
    <row r="50" spans="2:12">
      <c r="B50" s="1256">
        <v>2017</v>
      </c>
      <c r="C50" s="1258" t="s">
        <v>813</v>
      </c>
      <c r="D50" s="1258"/>
      <c r="E50" s="1261">
        <v>8143300</v>
      </c>
      <c r="F50" s="1268"/>
      <c r="G50" s="1261">
        <v>8143300</v>
      </c>
      <c r="H50" s="1261">
        <f t="shared" si="1"/>
        <v>0</v>
      </c>
      <c r="J50" s="51"/>
      <c r="K50" s="1252"/>
      <c r="L50" s="1252"/>
    </row>
    <row r="51" spans="2:12">
      <c r="B51" s="1256">
        <v>2017</v>
      </c>
      <c r="C51" s="1258" t="s">
        <v>814</v>
      </c>
      <c r="D51" s="1258"/>
      <c r="E51" s="1261">
        <v>19755400</v>
      </c>
      <c r="F51" s="1268"/>
      <c r="G51" s="1261">
        <v>19755400</v>
      </c>
      <c r="H51" s="1261">
        <f t="shared" si="1"/>
        <v>0</v>
      </c>
      <c r="J51" s="51"/>
      <c r="K51" s="1252"/>
      <c r="L51" s="1252"/>
    </row>
    <row r="52" spans="2:12">
      <c r="B52" s="1256">
        <v>2017</v>
      </c>
      <c r="C52" s="1258" t="s">
        <v>815</v>
      </c>
      <c r="D52" s="1258"/>
      <c r="E52" s="1261">
        <v>9146700</v>
      </c>
      <c r="F52" s="1268"/>
      <c r="G52" s="1261">
        <v>9146700</v>
      </c>
      <c r="H52" s="1261">
        <f t="shared" si="1"/>
        <v>0</v>
      </c>
      <c r="J52" s="51"/>
      <c r="K52" s="1252"/>
      <c r="L52" s="1252"/>
    </row>
    <row r="53" spans="2:12">
      <c r="B53" s="1256">
        <v>2017</v>
      </c>
      <c r="C53" s="1258" t="s">
        <v>816</v>
      </c>
      <c r="D53" s="1258"/>
      <c r="E53" s="1261">
        <v>17612200</v>
      </c>
      <c r="F53" s="1268"/>
      <c r="G53" s="1261">
        <v>17612200</v>
      </c>
      <c r="H53" s="1261">
        <f t="shared" si="1"/>
        <v>0</v>
      </c>
      <c r="J53" s="51"/>
      <c r="K53" s="1252"/>
      <c r="L53" s="1252"/>
    </row>
    <row r="54" spans="2:12">
      <c r="B54" s="1256">
        <v>2017</v>
      </c>
      <c r="C54" s="1258" t="s">
        <v>817</v>
      </c>
      <c r="D54" s="1258"/>
      <c r="E54" s="1261">
        <v>115292200</v>
      </c>
      <c r="F54" s="1268"/>
      <c r="G54" s="1261">
        <v>115292200</v>
      </c>
      <c r="H54" s="1261">
        <f t="shared" si="1"/>
        <v>0</v>
      </c>
      <c r="J54" s="51"/>
      <c r="K54" s="1252"/>
      <c r="L54" s="1252"/>
    </row>
    <row r="55" spans="2:12">
      <c r="B55" s="1256">
        <v>2017</v>
      </c>
      <c r="C55" s="1258" t="s">
        <v>818</v>
      </c>
      <c r="D55" s="1258"/>
      <c r="E55" s="1261">
        <v>27414900</v>
      </c>
      <c r="F55" s="1268"/>
      <c r="G55" s="1261">
        <v>27414900</v>
      </c>
      <c r="H55" s="1261">
        <f t="shared" si="1"/>
        <v>0</v>
      </c>
      <c r="J55" s="51"/>
      <c r="K55" s="1252"/>
      <c r="L55" s="1252"/>
    </row>
    <row r="56" spans="2:12">
      <c r="B56" s="1256">
        <v>2017</v>
      </c>
      <c r="C56" s="1258" t="s">
        <v>819</v>
      </c>
      <c r="D56" s="1258"/>
      <c r="E56" s="1261">
        <v>68984100</v>
      </c>
      <c r="F56" s="1268"/>
      <c r="G56" s="1261">
        <v>68984100</v>
      </c>
      <c r="H56" s="1261">
        <f t="shared" si="1"/>
        <v>0</v>
      </c>
      <c r="J56" s="51"/>
      <c r="K56" s="1252"/>
      <c r="L56" s="1252"/>
    </row>
    <row r="57" spans="2:12">
      <c r="B57" s="1256">
        <v>2017</v>
      </c>
      <c r="C57" s="1258" t="s">
        <v>820</v>
      </c>
      <c r="D57" s="1258"/>
      <c r="E57" s="1261">
        <v>34529600</v>
      </c>
      <c r="F57" s="1268"/>
      <c r="G57" s="1261">
        <v>34529600</v>
      </c>
      <c r="H57" s="1261">
        <f t="shared" si="1"/>
        <v>0</v>
      </c>
      <c r="J57" s="51"/>
      <c r="K57" s="1252"/>
      <c r="L57" s="1252"/>
    </row>
    <row r="58" spans="2:12">
      <c r="B58" s="1256">
        <v>2017</v>
      </c>
      <c r="C58" s="1258" t="s">
        <v>821</v>
      </c>
      <c r="D58" s="1258"/>
      <c r="E58" s="1261">
        <v>213666900</v>
      </c>
      <c r="F58" s="1268"/>
      <c r="G58" s="1261">
        <v>213666900</v>
      </c>
      <c r="H58" s="1261">
        <f t="shared" si="1"/>
        <v>0</v>
      </c>
      <c r="J58" s="51"/>
    </row>
    <row r="59" spans="2:12">
      <c r="B59" s="1256">
        <v>2017</v>
      </c>
      <c r="C59" s="1258" t="s">
        <v>822</v>
      </c>
      <c r="D59" s="1258"/>
      <c r="E59" s="1261">
        <v>64825400</v>
      </c>
      <c r="F59" s="1268"/>
      <c r="G59" s="1261">
        <v>64825400</v>
      </c>
      <c r="H59" s="1261">
        <f t="shared" si="1"/>
        <v>0</v>
      </c>
      <c r="J59" s="51"/>
    </row>
    <row r="60" spans="2:12">
      <c r="B60" s="1256">
        <v>2017</v>
      </c>
      <c r="C60" s="1258" t="s">
        <v>823</v>
      </c>
      <c r="D60" s="1258"/>
      <c r="E60" s="1261">
        <v>73959400</v>
      </c>
      <c r="F60" s="1268"/>
      <c r="G60" s="1261">
        <v>73959400</v>
      </c>
      <c r="H60" s="1261">
        <f t="shared" si="1"/>
        <v>0</v>
      </c>
      <c r="J60" s="51"/>
    </row>
    <row r="61" spans="2:12">
      <c r="B61" s="1256">
        <v>2017</v>
      </c>
      <c r="C61" s="1258" t="s">
        <v>824</v>
      </c>
      <c r="D61" s="1258"/>
      <c r="E61" s="1261">
        <v>394648400</v>
      </c>
      <c r="F61" s="1268"/>
      <c r="G61" s="1261">
        <v>360197500</v>
      </c>
      <c r="H61" s="1261">
        <v>34450900</v>
      </c>
      <c r="J61" s="51"/>
    </row>
    <row r="62" spans="2:12">
      <c r="B62" s="1256">
        <v>2017</v>
      </c>
      <c r="C62" s="1258" t="s">
        <v>825</v>
      </c>
      <c r="D62" s="1258"/>
      <c r="E62" s="1261">
        <v>1750000</v>
      </c>
      <c r="F62" s="1268"/>
      <c r="G62" s="1261">
        <v>1750000</v>
      </c>
      <c r="H62" s="1261">
        <f t="shared" si="1"/>
        <v>0</v>
      </c>
      <c r="J62" s="51"/>
    </row>
    <row r="63" spans="2:12" ht="13.5" customHeight="1">
      <c r="B63" s="1256">
        <v>2017</v>
      </c>
      <c r="C63" s="1258" t="s">
        <v>826</v>
      </c>
      <c r="D63" s="1258"/>
      <c r="E63" s="1261">
        <v>3000000</v>
      </c>
      <c r="F63" s="1268"/>
      <c r="G63" s="1261">
        <v>3000000</v>
      </c>
      <c r="H63" s="1261">
        <f t="shared" si="1"/>
        <v>0</v>
      </c>
      <c r="J63" s="51"/>
    </row>
    <row r="64" spans="2:12">
      <c r="B64" s="1269">
        <v>43252</v>
      </c>
      <c r="C64" s="1265" t="s">
        <v>827</v>
      </c>
      <c r="D64" s="1270"/>
      <c r="E64" s="1258"/>
      <c r="F64" s="1271">
        <v>277292445.72000003</v>
      </c>
      <c r="G64" s="1261"/>
      <c r="H64" s="1261">
        <f t="shared" si="1"/>
        <v>277292445.72000003</v>
      </c>
      <c r="J64" s="51"/>
    </row>
    <row r="65" spans="2:10">
      <c r="B65" s="1269">
        <v>43282</v>
      </c>
      <c r="C65" s="1265" t="s">
        <v>828</v>
      </c>
      <c r="D65" s="1275"/>
      <c r="E65" s="1275"/>
      <c r="F65" s="1271">
        <v>54703340.579999998</v>
      </c>
      <c r="G65" s="1261"/>
      <c r="H65" s="1261">
        <f t="shared" si="1"/>
        <v>54703340.579999998</v>
      </c>
      <c r="J65" s="51"/>
    </row>
    <row r="66" spans="2:10">
      <c r="B66" s="1269">
        <v>43313</v>
      </c>
      <c r="C66" s="1265" t="s">
        <v>829</v>
      </c>
      <c r="D66" s="1275"/>
      <c r="E66" s="1275"/>
      <c r="F66" s="1271">
        <v>19577307.699999999</v>
      </c>
      <c r="G66" s="1261"/>
      <c r="H66" s="1261">
        <f t="shared" si="1"/>
        <v>19577307.699999999</v>
      </c>
      <c r="J66" s="51"/>
    </row>
    <row r="67" spans="2:10">
      <c r="B67" s="1269">
        <v>43344</v>
      </c>
      <c r="C67" s="1265" t="s">
        <v>830</v>
      </c>
      <c r="D67" s="1275"/>
      <c r="E67" s="1275"/>
      <c r="F67" s="1271">
        <v>83763821.730000004</v>
      </c>
      <c r="G67" s="1261"/>
      <c r="H67" s="1261">
        <f t="shared" si="1"/>
        <v>83763821.730000004</v>
      </c>
      <c r="J67" s="51"/>
    </row>
    <row r="68" spans="2:10">
      <c r="B68" s="1269">
        <v>43374</v>
      </c>
      <c r="C68" s="1265" t="s">
        <v>831</v>
      </c>
      <c r="D68" s="1275"/>
      <c r="E68" s="1275"/>
      <c r="F68" s="1271">
        <v>271795</v>
      </c>
      <c r="G68" s="1261"/>
      <c r="H68" s="1261">
        <f t="shared" si="1"/>
        <v>271795</v>
      </c>
      <c r="J68" s="51"/>
    </row>
    <row r="69" spans="2:10">
      <c r="B69" s="1269">
        <v>43374</v>
      </c>
      <c r="C69" s="1265" t="s">
        <v>832</v>
      </c>
      <c r="D69" s="1275"/>
      <c r="E69" s="1275"/>
      <c r="F69" s="1271">
        <v>26755400</v>
      </c>
      <c r="G69" s="1261"/>
      <c r="H69" s="1261">
        <f t="shared" si="1"/>
        <v>26755400</v>
      </c>
      <c r="J69" s="51"/>
    </row>
    <row r="70" spans="2:10">
      <c r="B70" s="1276">
        <v>43282</v>
      </c>
      <c r="C70" s="1265" t="s">
        <v>833</v>
      </c>
      <c r="D70" s="1275"/>
      <c r="E70" s="1275"/>
      <c r="F70" s="1277">
        <v>56560000</v>
      </c>
      <c r="G70" s="1261"/>
      <c r="H70" s="1261">
        <f t="shared" si="1"/>
        <v>56560000</v>
      </c>
      <c r="J70" s="51"/>
    </row>
    <row r="71" spans="2:10">
      <c r="B71" s="1276">
        <v>43191</v>
      </c>
      <c r="C71" s="1265" t="s">
        <v>834</v>
      </c>
      <c r="D71" s="1275"/>
      <c r="E71" s="1275"/>
      <c r="F71" s="1277">
        <v>165175622</v>
      </c>
      <c r="G71" s="1261"/>
      <c r="H71" s="1261">
        <f t="shared" si="1"/>
        <v>165175622</v>
      </c>
      <c r="J71" s="51"/>
    </row>
    <row r="72" spans="2:10">
      <c r="B72" s="1276">
        <v>43191</v>
      </c>
      <c r="C72" s="1265" t="s">
        <v>835</v>
      </c>
      <c r="D72" s="1275"/>
      <c r="E72" s="1275"/>
      <c r="F72" s="1277">
        <v>30939000</v>
      </c>
      <c r="G72" s="1261"/>
      <c r="H72" s="1261">
        <f t="shared" si="1"/>
        <v>30939000</v>
      </c>
      <c r="J72" s="51"/>
    </row>
    <row r="73" spans="2:10">
      <c r="B73" s="1276">
        <v>43191</v>
      </c>
      <c r="C73" s="1265" t="s">
        <v>836</v>
      </c>
      <c r="D73" s="1275"/>
      <c r="E73" s="1275"/>
      <c r="F73" s="1277">
        <v>507810800</v>
      </c>
      <c r="G73" s="1261"/>
      <c r="H73" s="1261">
        <f t="shared" si="1"/>
        <v>507810800</v>
      </c>
      <c r="J73" s="51"/>
    </row>
    <row r="74" spans="2:10">
      <c r="B74" s="1276">
        <v>43191</v>
      </c>
      <c r="C74" s="1265" t="s">
        <v>837</v>
      </c>
      <c r="D74" s="1275"/>
      <c r="E74" s="1275"/>
      <c r="F74" s="1277">
        <v>164745800</v>
      </c>
      <c r="G74" s="1261"/>
      <c r="H74" s="1261">
        <f t="shared" si="1"/>
        <v>164745800</v>
      </c>
      <c r="J74" s="51"/>
    </row>
    <row r="75" spans="2:10">
      <c r="B75" s="1256"/>
      <c r="C75" s="1267" t="s">
        <v>838</v>
      </c>
      <c r="D75" s="1258"/>
      <c r="E75" s="1261"/>
      <c r="F75" s="1261"/>
      <c r="G75" s="1261"/>
      <c r="H75" s="1261">
        <f t="shared" si="1"/>
        <v>0</v>
      </c>
      <c r="J75" s="51"/>
    </row>
    <row r="76" spans="2:10">
      <c r="B76" s="1269">
        <v>43040</v>
      </c>
      <c r="C76" s="1265" t="s">
        <v>839</v>
      </c>
      <c r="D76" s="1258"/>
      <c r="E76" s="1261">
        <v>12149657.529999999</v>
      </c>
      <c r="F76" s="1261"/>
      <c r="G76" s="1261"/>
      <c r="H76" s="1261">
        <f t="shared" si="1"/>
        <v>12149657.529999999</v>
      </c>
      <c r="J76" s="51"/>
    </row>
    <row r="77" spans="2:10">
      <c r="B77" s="1262" t="s">
        <v>840</v>
      </c>
      <c r="C77" s="1260"/>
      <c r="D77" s="1258"/>
      <c r="E77" s="1259"/>
      <c r="F77" s="1261"/>
      <c r="G77" s="1261"/>
      <c r="H77" s="1261"/>
      <c r="J77" s="51"/>
    </row>
    <row r="78" spans="2:10">
      <c r="B78" s="1256">
        <v>2015</v>
      </c>
      <c r="C78" s="1258" t="s">
        <v>841</v>
      </c>
      <c r="D78" s="1258"/>
      <c r="E78" s="1261">
        <v>1231500</v>
      </c>
      <c r="F78" s="1268"/>
      <c r="G78" s="1261">
        <v>0</v>
      </c>
      <c r="H78" s="1261">
        <f t="shared" ref="H78:H124" si="2">E78+F78-G78</f>
        <v>1231500</v>
      </c>
      <c r="J78" s="51"/>
    </row>
    <row r="79" spans="2:10">
      <c r="B79" s="1256">
        <v>2015</v>
      </c>
      <c r="C79" s="1258" t="s">
        <v>842</v>
      </c>
      <c r="D79" s="1258"/>
      <c r="E79" s="1261">
        <v>229200</v>
      </c>
      <c r="F79" s="1268"/>
      <c r="G79" s="1261">
        <v>20000</v>
      </c>
      <c r="H79" s="1261">
        <f t="shared" si="2"/>
        <v>209200</v>
      </c>
      <c r="J79" s="51"/>
    </row>
    <row r="80" spans="2:10">
      <c r="B80" s="1256">
        <v>2015</v>
      </c>
      <c r="C80" s="1258" t="s">
        <v>843</v>
      </c>
      <c r="D80" s="1258"/>
      <c r="E80" s="1261">
        <v>1393200</v>
      </c>
      <c r="F80" s="1268"/>
      <c r="G80" s="1261">
        <v>600000</v>
      </c>
      <c r="H80" s="1261">
        <f t="shared" si="2"/>
        <v>793200</v>
      </c>
      <c r="J80" s="51"/>
    </row>
    <row r="81" spans="2:10">
      <c r="B81" s="1256">
        <v>2015</v>
      </c>
      <c r="C81" s="1258" t="s">
        <v>844</v>
      </c>
      <c r="D81" s="1258"/>
      <c r="E81" s="1261">
        <v>3744400</v>
      </c>
      <c r="F81" s="1268"/>
      <c r="G81" s="1261">
        <v>0</v>
      </c>
      <c r="H81" s="1261">
        <f t="shared" si="2"/>
        <v>3744400</v>
      </c>
      <c r="J81" s="51"/>
    </row>
    <row r="82" spans="2:10">
      <c r="B82" s="1256">
        <v>2015</v>
      </c>
      <c r="C82" s="1258" t="s">
        <v>845</v>
      </c>
      <c r="D82" s="1258"/>
      <c r="E82" s="1261">
        <v>10218100</v>
      </c>
      <c r="F82" s="1268"/>
      <c r="G82" s="1261">
        <v>0</v>
      </c>
      <c r="H82" s="1261">
        <f t="shared" si="2"/>
        <v>10218100</v>
      </c>
      <c r="J82" s="51"/>
    </row>
    <row r="83" spans="2:10">
      <c r="B83" s="1256">
        <v>2015</v>
      </c>
      <c r="C83" s="1258" t="s">
        <v>846</v>
      </c>
      <c r="D83" s="1258"/>
      <c r="E83" s="1261">
        <v>825600</v>
      </c>
      <c r="F83" s="1268"/>
      <c r="G83" s="1261">
        <v>0</v>
      </c>
      <c r="H83" s="1261">
        <f t="shared" si="2"/>
        <v>825600</v>
      </c>
      <c r="J83" s="51"/>
    </row>
    <row r="84" spans="2:10">
      <c r="B84" s="1256">
        <v>2015</v>
      </c>
      <c r="C84" s="1258" t="s">
        <v>847</v>
      </c>
      <c r="D84" s="1258"/>
      <c r="E84" s="1261">
        <v>5539600</v>
      </c>
      <c r="F84" s="1268"/>
      <c r="G84" s="1261">
        <v>0</v>
      </c>
      <c r="H84" s="1261">
        <f t="shared" si="2"/>
        <v>5539600</v>
      </c>
      <c r="J84" s="51"/>
    </row>
    <row r="85" spans="2:10">
      <c r="B85" s="1256">
        <v>2015</v>
      </c>
      <c r="C85" s="1258" t="s">
        <v>848</v>
      </c>
      <c r="D85" s="1258"/>
      <c r="E85" s="1261">
        <v>68800</v>
      </c>
      <c r="F85" s="1268"/>
      <c r="G85" s="1261">
        <v>0</v>
      </c>
      <c r="H85" s="1261">
        <f t="shared" si="2"/>
        <v>68800</v>
      </c>
      <c r="J85" s="51"/>
    </row>
    <row r="86" spans="2:10">
      <c r="B86" s="1256" t="s">
        <v>849</v>
      </c>
      <c r="C86" s="1258" t="s">
        <v>850</v>
      </c>
      <c r="D86" s="1258"/>
      <c r="E86" s="1261">
        <v>320500</v>
      </c>
      <c r="F86" s="1268"/>
      <c r="G86" s="1261">
        <v>0</v>
      </c>
      <c r="H86" s="1261">
        <f t="shared" si="2"/>
        <v>320500</v>
      </c>
      <c r="J86" s="51"/>
    </row>
    <row r="87" spans="2:10">
      <c r="B87" s="1256" t="s">
        <v>849</v>
      </c>
      <c r="C87" s="1258" t="s">
        <v>851</v>
      </c>
      <c r="D87" s="1258"/>
      <c r="E87" s="1261">
        <v>242000</v>
      </c>
      <c r="F87" s="1268"/>
      <c r="G87" s="1261">
        <v>0</v>
      </c>
      <c r="H87" s="1261">
        <f t="shared" si="2"/>
        <v>242000</v>
      </c>
      <c r="J87" s="51"/>
    </row>
    <row r="88" spans="2:10">
      <c r="B88" s="1256" t="s">
        <v>849</v>
      </c>
      <c r="C88" s="1258" t="s">
        <v>852</v>
      </c>
      <c r="D88" s="1258"/>
      <c r="E88" s="1261">
        <v>810000</v>
      </c>
      <c r="F88" s="1268"/>
      <c r="G88" s="1261">
        <v>0</v>
      </c>
      <c r="H88" s="1261">
        <f t="shared" si="2"/>
        <v>810000</v>
      </c>
      <c r="J88" s="51"/>
    </row>
    <row r="89" spans="2:10">
      <c r="B89" s="1256" t="s">
        <v>849</v>
      </c>
      <c r="C89" s="1258" t="s">
        <v>853</v>
      </c>
      <c r="D89" s="1258"/>
      <c r="E89" s="1261">
        <v>13302000</v>
      </c>
      <c r="F89" s="1268"/>
      <c r="G89" s="1261">
        <v>100000</v>
      </c>
      <c r="H89" s="1261">
        <f t="shared" si="2"/>
        <v>13202000</v>
      </c>
      <c r="J89" s="51"/>
    </row>
    <row r="90" spans="2:10">
      <c r="B90" s="1256" t="s">
        <v>849</v>
      </c>
      <c r="C90" s="1258" t="s">
        <v>854</v>
      </c>
      <c r="D90" s="1258"/>
      <c r="E90" s="1261">
        <v>4082400</v>
      </c>
      <c r="F90" s="1268"/>
      <c r="G90" s="1261">
        <v>0</v>
      </c>
      <c r="H90" s="1261">
        <f t="shared" si="2"/>
        <v>4082400</v>
      </c>
      <c r="J90" s="51"/>
    </row>
    <row r="91" spans="2:10">
      <c r="B91" s="1497" t="s">
        <v>855</v>
      </c>
      <c r="C91" s="1258" t="s">
        <v>856</v>
      </c>
      <c r="D91" s="1258"/>
      <c r="E91" s="1261">
        <v>1085000</v>
      </c>
      <c r="F91" s="1268"/>
      <c r="G91" s="1261">
        <v>0</v>
      </c>
      <c r="H91" s="1261">
        <f t="shared" si="2"/>
        <v>1085000</v>
      </c>
      <c r="J91" s="51"/>
    </row>
    <row r="92" spans="2:10">
      <c r="B92" s="1497" t="s">
        <v>857</v>
      </c>
      <c r="C92" s="1258" t="s">
        <v>858</v>
      </c>
      <c r="D92" s="1258"/>
      <c r="E92" s="1261">
        <v>698200</v>
      </c>
      <c r="F92" s="1268"/>
      <c r="G92" s="1261">
        <v>0</v>
      </c>
      <c r="H92" s="1261">
        <f t="shared" si="2"/>
        <v>698200</v>
      </c>
      <c r="J92" s="51"/>
    </row>
    <row r="93" spans="2:10">
      <c r="B93" s="1496" t="s">
        <v>859</v>
      </c>
      <c r="C93" s="1258" t="s">
        <v>860</v>
      </c>
      <c r="D93" s="1258"/>
      <c r="E93" s="1261">
        <v>9013400</v>
      </c>
      <c r="F93" s="1268"/>
      <c r="G93" s="1261">
        <v>0</v>
      </c>
      <c r="H93" s="1261">
        <f t="shared" si="2"/>
        <v>9013400</v>
      </c>
      <c r="J93" s="51"/>
    </row>
    <row r="94" spans="2:10">
      <c r="B94" s="1496" t="s">
        <v>861</v>
      </c>
      <c r="C94" s="1258" t="s">
        <v>862</v>
      </c>
      <c r="D94" s="1258"/>
      <c r="E94" s="1261">
        <v>4626000</v>
      </c>
      <c r="F94" s="1268"/>
      <c r="G94" s="1261">
        <v>0</v>
      </c>
      <c r="H94" s="1261">
        <f t="shared" si="2"/>
        <v>4626000</v>
      </c>
      <c r="J94" s="51"/>
    </row>
    <row r="95" spans="2:10">
      <c r="B95" s="1256" t="s">
        <v>859</v>
      </c>
      <c r="C95" s="1258" t="s">
        <v>863</v>
      </c>
      <c r="D95" s="1258"/>
      <c r="E95" s="1261">
        <v>2323400</v>
      </c>
      <c r="F95" s="1268"/>
      <c r="G95" s="1261">
        <v>0</v>
      </c>
      <c r="H95" s="1261">
        <f t="shared" si="2"/>
        <v>2323400</v>
      </c>
      <c r="J95" s="51"/>
    </row>
    <row r="96" spans="2:10">
      <c r="B96" s="1496" t="s">
        <v>864</v>
      </c>
      <c r="C96" s="1258" t="s">
        <v>865</v>
      </c>
      <c r="D96" s="1258"/>
      <c r="E96" s="1261">
        <v>2774100</v>
      </c>
      <c r="F96" s="1268"/>
      <c r="G96" s="1261">
        <v>0</v>
      </c>
      <c r="H96" s="1261">
        <f t="shared" si="2"/>
        <v>2774100</v>
      </c>
      <c r="J96" s="51"/>
    </row>
    <row r="97" spans="2:10">
      <c r="B97" s="1496" t="s">
        <v>866</v>
      </c>
      <c r="C97" s="1258" t="s">
        <v>867</v>
      </c>
      <c r="D97" s="1258"/>
      <c r="E97" s="1261">
        <v>135000</v>
      </c>
      <c r="F97" s="1268"/>
      <c r="G97" s="1261">
        <v>0</v>
      </c>
      <c r="H97" s="1261">
        <f t="shared" si="2"/>
        <v>135000</v>
      </c>
      <c r="J97" s="51"/>
    </row>
    <row r="98" spans="2:10" ht="14.25" customHeight="1">
      <c r="B98" s="1278" t="s">
        <v>868</v>
      </c>
      <c r="C98" s="1258" t="s">
        <v>869</v>
      </c>
      <c r="D98" s="1258"/>
      <c r="E98" s="1261">
        <v>52000</v>
      </c>
      <c r="F98" s="1268"/>
      <c r="G98" s="1261">
        <v>0</v>
      </c>
      <c r="H98" s="1261">
        <f t="shared" si="2"/>
        <v>52000</v>
      </c>
      <c r="J98" s="51"/>
    </row>
    <row r="99" spans="2:10" ht="14.25" customHeight="1">
      <c r="B99" s="1256">
        <v>2017</v>
      </c>
      <c r="C99" s="1258" t="s">
        <v>870</v>
      </c>
      <c r="D99" s="1258"/>
      <c r="E99" s="1261">
        <v>10368400</v>
      </c>
      <c r="F99" s="1268"/>
      <c r="G99" s="1261">
        <v>10368400</v>
      </c>
      <c r="H99" s="1261">
        <f t="shared" si="2"/>
        <v>0</v>
      </c>
      <c r="J99" s="51"/>
    </row>
    <row r="100" spans="2:10" ht="14.25" customHeight="1">
      <c r="B100" s="1256">
        <v>2017</v>
      </c>
      <c r="C100" s="1258" t="s">
        <v>871</v>
      </c>
      <c r="D100" s="1258"/>
      <c r="E100" s="1261">
        <v>2496000</v>
      </c>
      <c r="F100" s="1268"/>
      <c r="G100" s="1261">
        <v>2496000</v>
      </c>
      <c r="H100" s="1261">
        <f t="shared" si="2"/>
        <v>0</v>
      </c>
      <c r="J100" s="51"/>
    </row>
    <row r="101" spans="2:10" ht="24" customHeight="1">
      <c r="B101" s="1256">
        <v>2017</v>
      </c>
      <c r="C101" s="1258" t="s">
        <v>872</v>
      </c>
      <c r="D101" s="1258"/>
      <c r="E101" s="1261">
        <v>49410600</v>
      </c>
      <c r="F101" s="1268"/>
      <c r="G101" s="1261">
        <v>49410600</v>
      </c>
      <c r="H101" s="1261">
        <f t="shared" si="2"/>
        <v>0</v>
      </c>
      <c r="J101" s="51"/>
    </row>
    <row r="102" spans="2:10" ht="24" customHeight="1">
      <c r="B102" s="1256">
        <v>2017</v>
      </c>
      <c r="C102" s="1258" t="s">
        <v>873</v>
      </c>
      <c r="D102" s="1258"/>
      <c r="E102" s="1261">
        <v>45623800</v>
      </c>
      <c r="F102" s="1268"/>
      <c r="G102" s="1261">
        <v>45623800</v>
      </c>
      <c r="H102" s="1261">
        <f t="shared" si="2"/>
        <v>0</v>
      </c>
      <c r="J102" s="51"/>
    </row>
    <row r="103" spans="2:10" ht="24" customHeight="1">
      <c r="B103" s="1256">
        <v>2017</v>
      </c>
      <c r="C103" s="1258" t="s">
        <v>874</v>
      </c>
      <c r="D103" s="1258"/>
      <c r="E103" s="1261">
        <v>53106300</v>
      </c>
      <c r="F103" s="1268"/>
      <c r="G103" s="1261">
        <v>53106300</v>
      </c>
      <c r="H103" s="1261">
        <f t="shared" si="2"/>
        <v>0</v>
      </c>
      <c r="J103" s="51"/>
    </row>
    <row r="104" spans="2:10" ht="24" customHeight="1">
      <c r="B104" s="1256">
        <v>2017</v>
      </c>
      <c r="C104" s="1258" t="s">
        <v>875</v>
      </c>
      <c r="D104" s="1258"/>
      <c r="E104" s="1261">
        <v>39765700</v>
      </c>
      <c r="F104" s="1268"/>
      <c r="G104" s="1261">
        <v>39765700</v>
      </c>
      <c r="H104" s="1261">
        <f t="shared" si="2"/>
        <v>0</v>
      </c>
      <c r="J104" s="51"/>
    </row>
    <row r="105" spans="2:10" ht="24" customHeight="1">
      <c r="B105" s="1256">
        <v>2017</v>
      </c>
      <c r="C105" s="1258" t="s">
        <v>876</v>
      </c>
      <c r="D105" s="1258"/>
      <c r="E105" s="1261">
        <v>34682200</v>
      </c>
      <c r="F105" s="1268"/>
      <c r="G105" s="1261">
        <v>34682200</v>
      </c>
      <c r="H105" s="1261">
        <f t="shared" si="2"/>
        <v>0</v>
      </c>
      <c r="J105" s="51"/>
    </row>
    <row r="106" spans="2:10" ht="24" customHeight="1">
      <c r="B106" s="1256">
        <v>2017</v>
      </c>
      <c r="C106" s="1258" t="s">
        <v>877</v>
      </c>
      <c r="D106" s="1258"/>
      <c r="E106" s="1261">
        <v>34837700</v>
      </c>
      <c r="F106" s="1268"/>
      <c r="G106" s="1261">
        <v>34837700</v>
      </c>
      <c r="H106" s="1261">
        <f t="shared" si="2"/>
        <v>0</v>
      </c>
      <c r="J106" s="51"/>
    </row>
    <row r="107" spans="2:10" ht="24" customHeight="1">
      <c r="B107" s="1256">
        <v>2017</v>
      </c>
      <c r="C107" s="1258" t="s">
        <v>878</v>
      </c>
      <c r="D107" s="1258"/>
      <c r="E107" s="1261">
        <v>26633450</v>
      </c>
      <c r="F107" s="1268"/>
      <c r="G107" s="1261">
        <v>26633450</v>
      </c>
      <c r="H107" s="1261">
        <f t="shared" si="2"/>
        <v>0</v>
      </c>
      <c r="J107" s="51"/>
    </row>
    <row r="108" spans="2:10" ht="12.75" customHeight="1">
      <c r="B108" s="1496" t="s">
        <v>879</v>
      </c>
      <c r="C108" s="1258" t="s">
        <v>880</v>
      </c>
      <c r="D108" s="1258"/>
      <c r="E108" s="1258"/>
      <c r="F108" s="1261">
        <v>719300</v>
      </c>
      <c r="G108" s="1261"/>
      <c r="H108" s="1261">
        <f t="shared" si="2"/>
        <v>719300</v>
      </c>
      <c r="J108" s="51"/>
    </row>
    <row r="109" spans="2:10">
      <c r="B109" s="1496" t="s">
        <v>881</v>
      </c>
      <c r="C109" s="1258" t="s">
        <v>882</v>
      </c>
      <c r="D109" s="1258"/>
      <c r="E109" s="1258"/>
      <c r="F109" s="1261">
        <v>5311000</v>
      </c>
      <c r="G109" s="1261"/>
      <c r="H109" s="1261">
        <f t="shared" si="2"/>
        <v>5311000</v>
      </c>
      <c r="J109" s="51"/>
    </row>
    <row r="110" spans="2:10" ht="12.75" customHeight="1">
      <c r="B110" s="1496" t="s">
        <v>883</v>
      </c>
      <c r="C110" s="1258" t="s">
        <v>884</v>
      </c>
      <c r="D110" s="1258"/>
      <c r="E110" s="1258"/>
      <c r="F110" s="1261">
        <v>261000</v>
      </c>
      <c r="G110" s="1261"/>
      <c r="H110" s="1261">
        <f t="shared" si="2"/>
        <v>261000</v>
      </c>
      <c r="J110" s="51"/>
    </row>
    <row r="111" spans="2:10" ht="12.75" customHeight="1">
      <c r="B111" s="1496" t="s">
        <v>883</v>
      </c>
      <c r="C111" s="1258" t="s">
        <v>885</v>
      </c>
      <c r="D111" s="1258"/>
      <c r="E111" s="1258"/>
      <c r="F111" s="1261">
        <v>1324000</v>
      </c>
      <c r="G111" s="1261"/>
      <c r="H111" s="1261">
        <f t="shared" si="2"/>
        <v>1324000</v>
      </c>
      <c r="J111" s="51"/>
    </row>
    <row r="112" spans="2:10" ht="12.75" customHeight="1">
      <c r="B112" s="1496" t="s">
        <v>883</v>
      </c>
      <c r="C112" s="1258" t="s">
        <v>886</v>
      </c>
      <c r="D112" s="1258"/>
      <c r="E112" s="1258"/>
      <c r="F112" s="1261">
        <v>2029700</v>
      </c>
      <c r="G112" s="1261"/>
      <c r="H112" s="1261">
        <f t="shared" si="2"/>
        <v>2029700</v>
      </c>
      <c r="J112" s="51"/>
    </row>
    <row r="113" spans="2:10" ht="12.75" customHeight="1">
      <c r="B113" s="1496" t="s">
        <v>887</v>
      </c>
      <c r="C113" s="1258" t="s">
        <v>888</v>
      </c>
      <c r="D113" s="1258"/>
      <c r="E113" s="1258"/>
      <c r="F113" s="1261">
        <v>166500</v>
      </c>
      <c r="G113" s="1261"/>
      <c r="H113" s="1261">
        <f t="shared" si="2"/>
        <v>166500</v>
      </c>
      <c r="J113" s="51"/>
    </row>
    <row r="114" spans="2:10" ht="12.75" customHeight="1">
      <c r="B114" s="1496" t="s">
        <v>889</v>
      </c>
      <c r="C114" s="1258" t="s">
        <v>890</v>
      </c>
      <c r="D114" s="1258"/>
      <c r="E114" s="1258"/>
      <c r="F114" s="1261">
        <v>8917150</v>
      </c>
      <c r="G114" s="1261"/>
      <c r="H114" s="1261">
        <f t="shared" si="2"/>
        <v>8917150</v>
      </c>
      <c r="J114" s="51"/>
    </row>
    <row r="115" spans="2:10" ht="12.75" customHeight="1">
      <c r="B115" s="1496" t="s">
        <v>889</v>
      </c>
      <c r="C115" s="1258" t="s">
        <v>891</v>
      </c>
      <c r="D115" s="1258"/>
      <c r="E115" s="1258"/>
      <c r="F115" s="1261">
        <v>113500</v>
      </c>
      <c r="G115" s="1261"/>
      <c r="H115" s="1261">
        <f t="shared" si="2"/>
        <v>113500</v>
      </c>
      <c r="J115" s="51"/>
    </row>
    <row r="116" spans="2:10" ht="12.75" customHeight="1">
      <c r="B116" s="1496" t="s">
        <v>892</v>
      </c>
      <c r="C116" s="1258" t="s">
        <v>893</v>
      </c>
      <c r="D116" s="1258"/>
      <c r="E116" s="1258"/>
      <c r="F116" s="1261">
        <v>1502000</v>
      </c>
      <c r="G116" s="1261"/>
      <c r="H116" s="1261">
        <f t="shared" si="2"/>
        <v>1502000</v>
      </c>
      <c r="J116" s="51"/>
    </row>
    <row r="117" spans="2:10" ht="12.75" customHeight="1">
      <c r="B117" s="1496" t="s">
        <v>802</v>
      </c>
      <c r="C117" s="1258" t="s">
        <v>894</v>
      </c>
      <c r="D117" s="1258"/>
      <c r="E117" s="1258"/>
      <c r="F117" s="1261">
        <v>1140700</v>
      </c>
      <c r="G117" s="1261"/>
      <c r="H117" s="1261">
        <f t="shared" si="2"/>
        <v>1140700</v>
      </c>
      <c r="J117" s="51"/>
    </row>
    <row r="118" spans="2:10" ht="12.75" customHeight="1">
      <c r="B118" s="1496" t="s">
        <v>895</v>
      </c>
      <c r="C118" s="1258" t="s">
        <v>896</v>
      </c>
      <c r="D118" s="1258"/>
      <c r="E118" s="1258"/>
      <c r="F118" s="1261">
        <v>2059000</v>
      </c>
      <c r="G118" s="1261"/>
      <c r="H118" s="1261">
        <f t="shared" si="2"/>
        <v>2059000</v>
      </c>
      <c r="J118" s="51"/>
    </row>
    <row r="119" spans="2:10" ht="12.75" customHeight="1">
      <c r="B119" s="1496" t="s">
        <v>897</v>
      </c>
      <c r="C119" s="1258" t="s">
        <v>898</v>
      </c>
      <c r="D119" s="1258"/>
      <c r="E119" s="1258"/>
      <c r="F119" s="1261">
        <v>404000</v>
      </c>
      <c r="G119" s="1261"/>
      <c r="H119" s="1261">
        <f t="shared" si="2"/>
        <v>404000</v>
      </c>
      <c r="J119" s="51"/>
    </row>
    <row r="120" spans="2:10" ht="12.75" customHeight="1">
      <c r="B120" s="1496" t="s">
        <v>897</v>
      </c>
      <c r="C120" s="1258" t="s">
        <v>899</v>
      </c>
      <c r="D120" s="1258"/>
      <c r="E120" s="1258"/>
      <c r="F120" s="1261">
        <v>357500</v>
      </c>
      <c r="G120" s="1261"/>
      <c r="H120" s="1261">
        <f t="shared" si="2"/>
        <v>357500</v>
      </c>
      <c r="J120" s="51"/>
    </row>
    <row r="121" spans="2:10" ht="12.75" customHeight="1">
      <c r="B121" s="1496" t="s">
        <v>802</v>
      </c>
      <c r="C121" s="1258" t="s">
        <v>900</v>
      </c>
      <c r="D121" s="1258"/>
      <c r="E121" s="1258"/>
      <c r="F121" s="1261">
        <v>1458200</v>
      </c>
      <c r="G121" s="1261"/>
      <c r="H121" s="1261">
        <f t="shared" si="2"/>
        <v>1458200</v>
      </c>
      <c r="J121" s="51"/>
    </row>
    <row r="122" spans="2:10" ht="12.75" customHeight="1">
      <c r="B122" s="1498" t="s">
        <v>901</v>
      </c>
      <c r="C122" s="1258" t="s">
        <v>902</v>
      </c>
      <c r="D122" s="1258"/>
      <c r="E122" s="1258"/>
      <c r="F122" s="1261">
        <v>388310000</v>
      </c>
      <c r="G122" s="1261"/>
      <c r="H122" s="1261">
        <f t="shared" si="2"/>
        <v>388310000</v>
      </c>
      <c r="J122" s="51"/>
    </row>
    <row r="123" spans="2:10" ht="12.75" customHeight="1">
      <c r="B123" s="1498" t="s">
        <v>901</v>
      </c>
      <c r="C123" s="1258" t="s">
        <v>903</v>
      </c>
      <c r="D123" s="1258"/>
      <c r="E123" s="1258"/>
      <c r="F123" s="1261">
        <v>344858000</v>
      </c>
      <c r="G123" s="1261"/>
      <c r="H123" s="1261">
        <f t="shared" si="2"/>
        <v>344858000</v>
      </c>
      <c r="J123" s="51"/>
    </row>
    <row r="124" spans="2:10" ht="12.75" customHeight="1">
      <c r="B124" s="1496" t="s">
        <v>897</v>
      </c>
      <c r="C124" s="1258" t="s">
        <v>904</v>
      </c>
      <c r="D124" s="1258"/>
      <c r="E124" s="1258"/>
      <c r="F124" s="1261">
        <v>42001500</v>
      </c>
      <c r="G124" s="1261"/>
      <c r="H124" s="1261">
        <f t="shared" si="2"/>
        <v>42001500</v>
      </c>
      <c r="J124" s="51"/>
    </row>
    <row r="125" spans="2:10">
      <c r="B125" s="1258"/>
      <c r="C125" s="1258"/>
      <c r="D125" s="1257"/>
      <c r="E125" s="1257"/>
      <c r="F125" s="1261"/>
      <c r="G125" s="1261"/>
      <c r="H125" s="1261"/>
      <c r="J125" s="51"/>
    </row>
    <row r="126" spans="2:10" s="1251" customFormat="1">
      <c r="B126" s="1983" t="s">
        <v>9</v>
      </c>
      <c r="C126" s="1984"/>
      <c r="D126" s="1985"/>
      <c r="E126" s="1279">
        <f>SUM(E11:E125)</f>
        <v>1550351407.53</v>
      </c>
      <c r="F126" s="1279">
        <f>SUM(F11:F125)</f>
        <v>2248710382.73</v>
      </c>
      <c r="G126" s="1279">
        <f>SUM(G11:G125)</f>
        <v>1440288450</v>
      </c>
      <c r="H126" s="1279">
        <f>SUM(H11:H125)</f>
        <v>2358773340.2600002</v>
      </c>
      <c r="I126" s="1252"/>
      <c r="J126" s="51"/>
    </row>
    <row r="127" spans="2:10">
      <c r="J127" s="51"/>
    </row>
    <row r="128" spans="2:10">
      <c r="I128" s="51"/>
      <c r="J128" s="51"/>
    </row>
  </sheetData>
  <mergeCells count="11">
    <mergeCell ref="B2:H2"/>
    <mergeCell ref="B3:H3"/>
    <mergeCell ref="B4:H4"/>
    <mergeCell ref="B126:D126"/>
    <mergeCell ref="B6:B7"/>
    <mergeCell ref="C6:C7"/>
    <mergeCell ref="D6:D7"/>
    <mergeCell ref="E6:E7"/>
    <mergeCell ref="F6:F7"/>
    <mergeCell ref="G6:G7"/>
    <mergeCell ref="H6:H7"/>
  </mergeCells>
  <pageMargins left="1.25" right="0.23958333333333301" top="0.469444444444444" bottom="0.75" header="0.30972222222222201" footer="0.30972222222222201"/>
  <pageSetup scale="65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00B0F0"/>
  </sheetPr>
  <dimension ref="B2:W34"/>
  <sheetViews>
    <sheetView workbookViewId="0">
      <selection activeCell="N7" sqref="N7"/>
    </sheetView>
  </sheetViews>
  <sheetFormatPr defaultColWidth="9.140625" defaultRowHeight="12.75"/>
  <cols>
    <col min="1" max="1" width="4.140625" style="57" customWidth="1"/>
    <col min="2" max="2" width="3.28515625" style="57" customWidth="1"/>
    <col min="3" max="3" width="11.140625" style="57" customWidth="1"/>
    <col min="4" max="5" width="12.5703125" style="57" customWidth="1"/>
    <col min="6" max="6" width="11.7109375" style="57" customWidth="1"/>
    <col min="7" max="7" width="12.140625" style="57" customWidth="1"/>
    <col min="8" max="8" width="18.7109375" style="57" customWidth="1"/>
    <col min="9" max="9" width="12.85546875" style="57" customWidth="1"/>
    <col min="10" max="15" width="11.7109375" style="57" customWidth="1"/>
    <col min="16" max="16" width="11.140625" style="57" customWidth="1"/>
    <col min="17" max="17" width="12" style="57" customWidth="1"/>
    <col min="18" max="18" width="11.42578125" style="57" customWidth="1"/>
    <col min="19" max="19" width="11.7109375" style="57" customWidth="1"/>
    <col min="20" max="20" width="12.5703125" style="57" customWidth="1"/>
    <col min="21" max="21" width="11.7109375" style="57" customWidth="1"/>
    <col min="22" max="22" width="20.7109375" style="57" customWidth="1"/>
    <col min="23" max="23" width="25" style="57" customWidth="1"/>
    <col min="24" max="16384" width="9.140625" style="57"/>
  </cols>
  <sheetData>
    <row r="2" spans="2:23" ht="15">
      <c r="B2" s="1990" t="s">
        <v>0</v>
      </c>
      <c r="C2" s="1990"/>
      <c r="D2" s="1990"/>
      <c r="E2" s="1990"/>
      <c r="F2" s="1990"/>
      <c r="G2" s="1990"/>
      <c r="H2" s="1990"/>
      <c r="I2" s="1990"/>
      <c r="J2" s="1990"/>
      <c r="K2" s="1990"/>
      <c r="L2" s="1990"/>
      <c r="M2" s="1990"/>
      <c r="N2" s="1990"/>
      <c r="O2" s="1990"/>
      <c r="P2" s="1990"/>
      <c r="Q2" s="1990"/>
      <c r="R2" s="1990"/>
      <c r="S2" s="1246"/>
      <c r="T2" s="1247"/>
      <c r="U2" s="1248"/>
      <c r="V2" s="1249"/>
      <c r="W2" s="1248"/>
    </row>
    <row r="3" spans="2:23" ht="15">
      <c r="B3" s="1990" t="s">
        <v>905</v>
      </c>
      <c r="C3" s="1990"/>
      <c r="D3" s="1990"/>
      <c r="E3" s="1990"/>
      <c r="F3" s="1990"/>
      <c r="G3" s="1990"/>
      <c r="H3" s="1990"/>
      <c r="I3" s="1990"/>
      <c r="J3" s="1990"/>
      <c r="K3" s="1990"/>
      <c r="L3" s="1990"/>
      <c r="M3" s="1990"/>
      <c r="N3" s="1990"/>
      <c r="O3" s="1990"/>
      <c r="P3" s="1990"/>
      <c r="Q3" s="1990"/>
      <c r="R3" s="1990"/>
      <c r="S3" s="1246"/>
      <c r="T3" s="1246"/>
      <c r="U3" s="1246"/>
      <c r="V3" s="1250"/>
      <c r="W3" s="1246"/>
    </row>
    <row r="4" spans="2:23" ht="15">
      <c r="B4" s="1990" t="s">
        <v>768</v>
      </c>
      <c r="C4" s="1990"/>
      <c r="D4" s="1990"/>
      <c r="E4" s="1990"/>
      <c r="F4" s="1990"/>
      <c r="G4" s="1990"/>
      <c r="H4" s="1990"/>
      <c r="I4" s="1990"/>
      <c r="J4" s="1990"/>
      <c r="K4" s="1990"/>
      <c r="L4" s="1990"/>
      <c r="M4" s="1990"/>
      <c r="N4" s="1990"/>
      <c r="O4" s="1990"/>
      <c r="P4" s="1990"/>
      <c r="Q4" s="1990"/>
      <c r="R4" s="1990"/>
      <c r="V4" s="56"/>
    </row>
    <row r="5" spans="2:23" ht="15">
      <c r="B5" s="1214"/>
      <c r="C5" s="1214"/>
      <c r="D5" s="1214"/>
      <c r="E5" s="1214"/>
      <c r="F5" s="1214"/>
      <c r="G5" s="1214"/>
      <c r="H5" s="1214"/>
      <c r="I5" s="1214"/>
      <c r="J5" s="1214"/>
      <c r="K5" s="1214"/>
      <c r="L5" s="1214"/>
      <c r="M5" s="1214"/>
      <c r="N5" s="1214"/>
      <c r="O5" s="1214"/>
      <c r="P5" s="1214"/>
      <c r="Q5" s="1214"/>
      <c r="R5" s="1877"/>
      <c r="V5" s="56"/>
    </row>
    <row r="6" spans="2:23">
      <c r="B6" s="1991" t="s">
        <v>4</v>
      </c>
      <c r="C6" s="1991" t="s">
        <v>906</v>
      </c>
      <c r="D6" s="1991" t="s">
        <v>907</v>
      </c>
      <c r="E6" s="1991" t="s">
        <v>908</v>
      </c>
      <c r="F6" s="1991" t="s">
        <v>909</v>
      </c>
      <c r="G6" s="1991"/>
      <c r="H6" s="1991" t="s">
        <v>910</v>
      </c>
      <c r="I6" s="1240"/>
      <c r="J6" s="1240"/>
      <c r="K6" s="1240"/>
      <c r="L6" s="1240"/>
      <c r="M6" s="1240"/>
      <c r="N6" s="1240"/>
      <c r="O6" s="1240"/>
      <c r="P6" s="1240"/>
      <c r="Q6" s="1240"/>
      <c r="R6" s="1240"/>
      <c r="V6" s="56"/>
    </row>
    <row r="7" spans="2:23">
      <c r="B7" s="1991"/>
      <c r="C7" s="1991"/>
      <c r="D7" s="1991"/>
      <c r="E7" s="1991"/>
      <c r="F7" s="1215" t="s">
        <v>911</v>
      </c>
      <c r="G7" s="1215" t="s">
        <v>912</v>
      </c>
      <c r="H7" s="1991"/>
      <c r="I7" s="1240"/>
      <c r="J7" s="1240"/>
      <c r="K7" s="1240"/>
      <c r="L7" s="1240"/>
      <c r="M7" s="1240"/>
      <c r="N7" s="1240"/>
      <c r="O7" s="1240"/>
      <c r="P7" s="1240"/>
      <c r="Q7" s="1240"/>
      <c r="R7" s="1240"/>
      <c r="V7" s="56"/>
    </row>
    <row r="8" spans="2:23">
      <c r="B8" s="1216">
        <v>1</v>
      </c>
      <c r="C8" s="1217" t="s">
        <v>913</v>
      </c>
      <c r="D8" s="1218">
        <v>332601650</v>
      </c>
      <c r="E8" s="1218">
        <v>49923650</v>
      </c>
      <c r="F8" s="1218">
        <f>E8</f>
        <v>49923650</v>
      </c>
      <c r="G8" s="1218">
        <v>0</v>
      </c>
      <c r="H8" s="1219" t="s">
        <v>914</v>
      </c>
      <c r="I8" s="1223"/>
      <c r="J8" s="1223"/>
      <c r="K8" s="1223"/>
      <c r="L8" s="1223"/>
      <c r="M8" s="1223"/>
      <c r="N8" s="1223"/>
      <c r="O8" s="1223"/>
      <c r="P8" s="1223"/>
      <c r="Q8" s="1223"/>
      <c r="R8" s="1223"/>
      <c r="V8" s="56"/>
    </row>
    <row r="9" spans="2:23">
      <c r="B9" s="1992" t="s">
        <v>9</v>
      </c>
      <c r="C9" s="1992"/>
      <c r="D9" s="1220">
        <f>SUM(D8:D8)</f>
        <v>332601650</v>
      </c>
      <c r="E9" s="1220">
        <f>SUM(E8:E8)</f>
        <v>49923650</v>
      </c>
      <c r="F9" s="1220">
        <f>SUM(F8:F8)</f>
        <v>49923650</v>
      </c>
      <c r="G9" s="1220">
        <f>SUM(G8:G8)</f>
        <v>0</v>
      </c>
      <c r="H9" s="1221"/>
      <c r="I9" s="1241"/>
      <c r="J9" s="1241"/>
      <c r="K9" s="1241"/>
      <c r="L9" s="1241"/>
      <c r="M9" s="1241"/>
      <c r="N9" s="1241"/>
      <c r="O9" s="1241"/>
      <c r="P9" s="1241"/>
      <c r="Q9" s="1241"/>
      <c r="R9" s="1241"/>
      <c r="V9" s="56"/>
    </row>
    <row r="10" spans="2:23">
      <c r="B10" s="1222"/>
      <c r="C10" s="1223"/>
      <c r="D10" s="1224"/>
      <c r="E10" s="1224"/>
      <c r="F10" s="1224"/>
      <c r="G10" s="1224"/>
      <c r="H10" s="1225"/>
      <c r="I10" s="1223"/>
      <c r="J10" s="1223"/>
      <c r="K10" s="1223"/>
      <c r="L10" s="1223"/>
      <c r="M10" s="1223"/>
      <c r="N10" s="1223"/>
      <c r="O10" s="1223"/>
      <c r="P10" s="1223"/>
      <c r="Q10" s="1223"/>
      <c r="R10" s="1223"/>
      <c r="V10" s="56"/>
    </row>
    <row r="11" spans="2:23">
      <c r="B11" s="1222"/>
      <c r="C11" s="1223"/>
      <c r="D11" s="1224"/>
      <c r="E11" s="1224"/>
      <c r="F11" s="1224"/>
      <c r="G11" s="1224"/>
      <c r="H11" s="1225"/>
      <c r="I11" s="1223"/>
      <c r="J11" s="1223"/>
      <c r="K11" s="1223"/>
      <c r="L11" s="1223"/>
      <c r="M11" s="1223"/>
      <c r="N11" s="1223"/>
      <c r="O11" s="1223"/>
      <c r="P11" s="1223"/>
      <c r="Q11" s="1223"/>
      <c r="R11" s="1223"/>
      <c r="V11" s="56"/>
    </row>
    <row r="12" spans="2:23">
      <c r="B12" s="1993" t="s">
        <v>915</v>
      </c>
      <c r="C12" s="1993"/>
      <c r="D12" s="1226"/>
      <c r="E12" s="1226"/>
      <c r="F12" s="1226"/>
      <c r="G12" s="1226"/>
      <c r="H12" s="1225"/>
      <c r="I12" s="1223"/>
      <c r="J12" s="1223"/>
      <c r="K12" s="1223"/>
      <c r="L12" s="1223"/>
      <c r="M12" s="1223"/>
      <c r="N12" s="1223"/>
      <c r="O12" s="1223"/>
      <c r="P12" s="1223"/>
      <c r="Q12" s="1223"/>
      <c r="R12" s="459" t="s">
        <v>3</v>
      </c>
      <c r="V12" s="56"/>
    </row>
    <row r="13" spans="2:23" ht="22.5">
      <c r="B13" s="1215" t="s">
        <v>4</v>
      </c>
      <c r="C13" s="1215" t="s">
        <v>916</v>
      </c>
      <c r="D13" s="1227">
        <v>40178</v>
      </c>
      <c r="E13" s="1215" t="s">
        <v>917</v>
      </c>
      <c r="F13" s="1215" t="s">
        <v>918</v>
      </c>
      <c r="G13" s="1227">
        <v>40543</v>
      </c>
      <c r="H13" s="1215" t="s">
        <v>917</v>
      </c>
      <c r="I13" s="1215" t="s">
        <v>918</v>
      </c>
      <c r="J13" s="1227">
        <v>40908</v>
      </c>
      <c r="K13" s="1215" t="s">
        <v>917</v>
      </c>
      <c r="L13" s="1215" t="s">
        <v>918</v>
      </c>
      <c r="M13" s="1227">
        <v>41274</v>
      </c>
      <c r="N13" s="1215" t="s">
        <v>917</v>
      </c>
      <c r="O13" s="1215" t="s">
        <v>918</v>
      </c>
      <c r="P13" s="1215" t="s">
        <v>919</v>
      </c>
      <c r="Q13" s="1215" t="s">
        <v>920</v>
      </c>
      <c r="R13" s="1227">
        <v>41639</v>
      </c>
      <c r="V13" s="56"/>
    </row>
    <row r="14" spans="2:23">
      <c r="B14" s="1228">
        <v>2</v>
      </c>
      <c r="C14" s="1229" t="s">
        <v>921</v>
      </c>
      <c r="D14" s="1230">
        <v>-1388400</v>
      </c>
      <c r="E14" s="1230">
        <v>2760600</v>
      </c>
      <c r="F14" s="1230">
        <v>0</v>
      </c>
      <c r="G14" s="1230">
        <f>SUM(D14:F14)</f>
        <v>1372200</v>
      </c>
      <c r="H14" s="1230">
        <v>2760600</v>
      </c>
      <c r="I14" s="1230">
        <v>-4149000</v>
      </c>
      <c r="J14" s="1230">
        <f>SUM(G14:I14)</f>
        <v>-16200</v>
      </c>
      <c r="K14" s="1230">
        <v>2760600</v>
      </c>
      <c r="L14" s="1230">
        <v>-1383000</v>
      </c>
      <c r="M14" s="1242">
        <f>SUM(J14:L14)</f>
        <v>1361400</v>
      </c>
      <c r="N14" s="1230">
        <v>2760600</v>
      </c>
      <c r="O14" s="1230">
        <v>-4140900</v>
      </c>
      <c r="P14" s="1230">
        <v>0</v>
      </c>
      <c r="Q14" s="1230">
        <v>0</v>
      </c>
      <c r="R14" s="1230">
        <f>SUM(M14:Q14)</f>
        <v>-18900</v>
      </c>
    </row>
    <row r="15" spans="2:23">
      <c r="B15" s="1228">
        <v>5</v>
      </c>
      <c r="C15" s="1229" t="s">
        <v>922</v>
      </c>
      <c r="D15" s="1230">
        <v>2257400</v>
      </c>
      <c r="E15" s="1230">
        <v>3386100</v>
      </c>
      <c r="F15" s="1230">
        <v>-1694000</v>
      </c>
      <c r="G15" s="1230">
        <f>SUM(D15:F15)</f>
        <v>3949500</v>
      </c>
      <c r="H15" s="1230">
        <v>3386100</v>
      </c>
      <c r="I15" s="1230">
        <v>-3386100</v>
      </c>
      <c r="J15" s="1230">
        <f>SUM(G15:I15)</f>
        <v>3949500</v>
      </c>
      <c r="K15" s="1230">
        <v>3386100</v>
      </c>
      <c r="L15" s="1230">
        <v>-4233400</v>
      </c>
      <c r="M15" s="1242">
        <f>SUM(J15:L15)</f>
        <v>3102200</v>
      </c>
      <c r="N15" s="1230">
        <v>3386100</v>
      </c>
      <c r="O15" s="1230">
        <v>-5079150</v>
      </c>
      <c r="P15" s="1230">
        <v>0</v>
      </c>
      <c r="Q15" s="1230">
        <v>0</v>
      </c>
      <c r="R15" s="1230">
        <f>SUM(M15:Q15)</f>
        <v>1409150</v>
      </c>
    </row>
    <row r="16" spans="2:23">
      <c r="B16" s="1228">
        <v>6</v>
      </c>
      <c r="C16" s="1229" t="s">
        <v>923</v>
      </c>
      <c r="D16" s="1230">
        <v>12374400</v>
      </c>
      <c r="E16" s="1230">
        <f>9280800+1750</f>
        <v>9282550</v>
      </c>
      <c r="F16" s="1230">
        <v>-773400</v>
      </c>
      <c r="G16" s="1230">
        <f>SUM(D16:F16)</f>
        <v>20883550</v>
      </c>
      <c r="H16" s="1230">
        <v>9280800</v>
      </c>
      <c r="I16" s="1230">
        <v>-17788200</v>
      </c>
      <c r="J16" s="1230">
        <f>SUM(G16:I16)</f>
        <v>12376150</v>
      </c>
      <c r="K16" s="1230">
        <v>9280800</v>
      </c>
      <c r="L16" s="1230">
        <v>-9946600</v>
      </c>
      <c r="M16" s="1242">
        <f>SUM(J16:L16)</f>
        <v>11710350</v>
      </c>
      <c r="N16" s="1230">
        <v>9280800</v>
      </c>
      <c r="O16" s="1230">
        <v>-2000000</v>
      </c>
      <c r="P16" s="1230">
        <v>0</v>
      </c>
      <c r="Q16" s="1230">
        <v>0</v>
      </c>
      <c r="R16" s="1230">
        <f>SUM(M16:Q16)</f>
        <v>18991150</v>
      </c>
    </row>
    <row r="17" spans="2:19">
      <c r="B17" s="1994" t="s">
        <v>9</v>
      </c>
      <c r="C17" s="1994"/>
      <c r="D17" s="1220">
        <f>SUM(D14:D16)</f>
        <v>13243400</v>
      </c>
      <c r="E17" s="1231">
        <f t="shared" ref="E17:R17" si="0">SUM(E14:E16)</f>
        <v>15429250</v>
      </c>
      <c r="F17" s="1231">
        <f t="shared" si="0"/>
        <v>-2467400</v>
      </c>
      <c r="G17" s="1231">
        <f t="shared" si="0"/>
        <v>26205250</v>
      </c>
      <c r="H17" s="1231">
        <f t="shared" si="0"/>
        <v>15427500</v>
      </c>
      <c r="I17" s="1231">
        <f t="shared" si="0"/>
        <v>-25323300</v>
      </c>
      <c r="J17" s="1231">
        <f t="shared" si="0"/>
        <v>16309450</v>
      </c>
      <c r="K17" s="1231">
        <f t="shared" si="0"/>
        <v>15427500</v>
      </c>
      <c r="L17" s="1231">
        <f t="shared" si="0"/>
        <v>-15563000</v>
      </c>
      <c r="M17" s="1231">
        <f t="shared" si="0"/>
        <v>16173950</v>
      </c>
      <c r="N17" s="1231">
        <f t="shared" si="0"/>
        <v>15427500</v>
      </c>
      <c r="O17" s="1231">
        <f t="shared" si="0"/>
        <v>-11220050</v>
      </c>
      <c r="P17" s="1231">
        <f t="shared" si="0"/>
        <v>0</v>
      </c>
      <c r="Q17" s="1231">
        <f t="shared" si="0"/>
        <v>0</v>
      </c>
      <c r="R17" s="1231">
        <f t="shared" si="0"/>
        <v>20381400</v>
      </c>
    </row>
    <row r="18" spans="2:19">
      <c r="B18" s="1232"/>
      <c r="C18" s="1233"/>
      <c r="D18" s="1233"/>
      <c r="E18" s="1233"/>
      <c r="F18" s="1233"/>
      <c r="G18" s="1233"/>
      <c r="H18" s="1233"/>
      <c r="I18" s="1233"/>
      <c r="J18" s="1233"/>
      <c r="K18" s="1233"/>
      <c r="L18" s="1233"/>
      <c r="M18" s="1233"/>
      <c r="N18" s="1233"/>
      <c r="O18" s="1233"/>
      <c r="P18" s="1233"/>
      <c r="Q18" s="1233"/>
      <c r="R18" s="1233"/>
    </row>
    <row r="19" spans="2:19" ht="22.5">
      <c r="B19" s="1215" t="s">
        <v>4</v>
      </c>
      <c r="C19" s="1215" t="s">
        <v>916</v>
      </c>
      <c r="D19" s="1227">
        <v>41639</v>
      </c>
      <c r="E19" s="1215" t="s">
        <v>917</v>
      </c>
      <c r="F19" s="1215" t="s">
        <v>918</v>
      </c>
      <c r="G19" s="1215" t="s">
        <v>924</v>
      </c>
      <c r="H19" s="1215" t="s">
        <v>920</v>
      </c>
      <c r="I19" s="1227">
        <v>42004</v>
      </c>
      <c r="J19" s="1215" t="s">
        <v>917</v>
      </c>
      <c r="K19" s="1215" t="s">
        <v>918</v>
      </c>
      <c r="L19" s="1227">
        <v>42369</v>
      </c>
      <c r="M19" s="1215" t="s">
        <v>917</v>
      </c>
      <c r="N19" s="1215" t="s">
        <v>918</v>
      </c>
      <c r="O19" s="1227">
        <v>42735</v>
      </c>
      <c r="P19" s="1215" t="s">
        <v>917</v>
      </c>
      <c r="Q19" s="1215" t="s">
        <v>918</v>
      </c>
      <c r="R19" s="1227">
        <v>43100</v>
      </c>
      <c r="S19" s="56"/>
    </row>
    <row r="20" spans="2:19">
      <c r="B20" s="1228">
        <v>2</v>
      </c>
      <c r="C20" s="1229" t="s">
        <v>921</v>
      </c>
      <c r="D20" s="1234">
        <f>R14</f>
        <v>-18900</v>
      </c>
      <c r="E20" s="1230">
        <v>2760600</v>
      </c>
      <c r="F20" s="1230">
        <v>-4149000</v>
      </c>
      <c r="G20" s="1230">
        <v>0</v>
      </c>
      <c r="H20" s="1230">
        <v>-350</v>
      </c>
      <c r="I20" s="1234">
        <f>SUM(D20:H20)</f>
        <v>-1407650</v>
      </c>
      <c r="J20" s="1230">
        <v>2760600</v>
      </c>
      <c r="K20" s="1230">
        <v>-1383000</v>
      </c>
      <c r="L20" s="1234">
        <f>SUM(H20:K20)</f>
        <v>-30400</v>
      </c>
      <c r="M20" s="1230">
        <v>2760600</v>
      </c>
      <c r="N20" s="1230">
        <v>-2760600</v>
      </c>
      <c r="O20" s="1234">
        <f>SUM(L20:N20)</f>
        <v>-30400</v>
      </c>
      <c r="P20" s="1230">
        <v>920200</v>
      </c>
      <c r="Q20" s="1230">
        <v>-1380300</v>
      </c>
      <c r="R20" s="1234">
        <f>SUM(O20:Q20)</f>
        <v>-490500</v>
      </c>
      <c r="S20" s="56"/>
    </row>
    <row r="21" spans="2:19">
      <c r="B21" s="1228">
        <v>5</v>
      </c>
      <c r="C21" s="1229" t="s">
        <v>922</v>
      </c>
      <c r="D21" s="1234">
        <f>R15</f>
        <v>1409150</v>
      </c>
      <c r="E21" s="1230">
        <v>3386100</v>
      </c>
      <c r="F21" s="1230">
        <v>-1693050</v>
      </c>
      <c r="G21" s="1230">
        <v>0</v>
      </c>
      <c r="H21" s="1230">
        <v>-2725</v>
      </c>
      <c r="I21" s="1234">
        <f>SUM(D21:H21)</f>
        <v>3099475</v>
      </c>
      <c r="J21" s="1230">
        <v>3386100</v>
      </c>
      <c r="K21" s="1230">
        <v>0</v>
      </c>
      <c r="L21" s="1234">
        <f>SUM(H21:K21)</f>
        <v>6482850</v>
      </c>
      <c r="M21" s="1230">
        <v>3386100</v>
      </c>
      <c r="N21" s="1230">
        <v>0</v>
      </c>
      <c r="O21" s="1234">
        <f>SUM(L21:N21)</f>
        <v>9868950</v>
      </c>
      <c r="P21" s="1230">
        <v>1128700</v>
      </c>
      <c r="Q21" s="1230">
        <v>-11851350</v>
      </c>
      <c r="R21" s="1234">
        <f>SUM(O21:Q21)</f>
        <v>-853700</v>
      </c>
      <c r="S21" s="56"/>
    </row>
    <row r="22" spans="2:19">
      <c r="B22" s="1228">
        <v>6</v>
      </c>
      <c r="C22" s="1229" t="s">
        <v>923</v>
      </c>
      <c r="D22" s="1234">
        <f>R16</f>
        <v>18991150</v>
      </c>
      <c r="E22" s="1230">
        <v>9280800</v>
      </c>
      <c r="F22" s="1230">
        <v>0</v>
      </c>
      <c r="G22" s="1230">
        <v>0</v>
      </c>
      <c r="H22" s="1230">
        <v>-1750</v>
      </c>
      <c r="I22" s="1234">
        <f>SUM(D22:H22)</f>
        <v>28270200</v>
      </c>
      <c r="J22" s="1230">
        <v>9280800</v>
      </c>
      <c r="K22" s="1230">
        <v>0</v>
      </c>
      <c r="L22" s="1234">
        <f>SUM(H22:K22)</f>
        <v>37549250</v>
      </c>
      <c r="M22" s="1230">
        <v>9280800</v>
      </c>
      <c r="N22" s="1230">
        <v>0</v>
      </c>
      <c r="O22" s="1234">
        <f>SUM(L22:N22)</f>
        <v>46830050</v>
      </c>
      <c r="P22" s="1230">
        <f>3093600</f>
        <v>3093600</v>
      </c>
      <c r="Q22" s="1230">
        <v>0</v>
      </c>
      <c r="R22" s="1234">
        <f>SUM(O22:Q22)</f>
        <v>49923650</v>
      </c>
    </row>
    <row r="23" spans="2:19">
      <c r="B23" s="1992" t="s">
        <v>9</v>
      </c>
      <c r="C23" s="1992"/>
      <c r="D23" s="1220">
        <f>SUM(D20:D22)</f>
        <v>20381400</v>
      </c>
      <c r="E23" s="1220">
        <f t="shared" ref="E23:R23" si="1">SUM(E20:E22)</f>
        <v>15427500</v>
      </c>
      <c r="F23" s="1220">
        <f t="shared" si="1"/>
        <v>-5842050</v>
      </c>
      <c r="G23" s="1220">
        <f t="shared" si="1"/>
        <v>0</v>
      </c>
      <c r="H23" s="1220">
        <f t="shared" si="1"/>
        <v>-4825</v>
      </c>
      <c r="I23" s="1220">
        <f t="shared" si="1"/>
        <v>29962025</v>
      </c>
      <c r="J23" s="1220">
        <f t="shared" si="1"/>
        <v>15427500</v>
      </c>
      <c r="K23" s="1220">
        <f t="shared" si="1"/>
        <v>-1383000</v>
      </c>
      <c r="L23" s="1220">
        <f t="shared" si="1"/>
        <v>44001700</v>
      </c>
      <c r="M23" s="1220">
        <f t="shared" si="1"/>
        <v>15427500</v>
      </c>
      <c r="N23" s="1220">
        <f t="shared" si="1"/>
        <v>-2760600</v>
      </c>
      <c r="O23" s="1220">
        <f t="shared" si="1"/>
        <v>56668600</v>
      </c>
      <c r="P23" s="1220">
        <f t="shared" si="1"/>
        <v>5142500</v>
      </c>
      <c r="Q23" s="1220">
        <f t="shared" si="1"/>
        <v>-13231650</v>
      </c>
      <c r="R23" s="1220">
        <f t="shared" si="1"/>
        <v>48579450</v>
      </c>
    </row>
    <row r="24" spans="2:19">
      <c r="B24" s="1222"/>
      <c r="C24" s="1223"/>
      <c r="D24" s="1223"/>
      <c r="E24" s="1223"/>
      <c r="F24" s="1223"/>
      <c r="G24" s="1223"/>
      <c r="H24" s="1223"/>
      <c r="I24" s="1223"/>
      <c r="J24" s="1223"/>
      <c r="K24" s="1223"/>
      <c r="L24" s="1223"/>
      <c r="M24" s="1223"/>
      <c r="N24" s="1223"/>
      <c r="O24" s="1223"/>
      <c r="P24" s="1223"/>
      <c r="Q24" s="1223"/>
      <c r="R24" s="1223"/>
    </row>
    <row r="25" spans="2:19" ht="22.5">
      <c r="B25" s="1215" t="s">
        <v>4</v>
      </c>
      <c r="C25" s="1215" t="s">
        <v>916</v>
      </c>
      <c r="D25" s="1227">
        <v>43100</v>
      </c>
      <c r="E25" s="1215" t="s">
        <v>917</v>
      </c>
      <c r="F25" s="1215" t="s">
        <v>918</v>
      </c>
      <c r="G25" s="1227">
        <v>43465</v>
      </c>
      <c r="H25" s="1235" t="s">
        <v>925</v>
      </c>
      <c r="I25" s="1223"/>
      <c r="J25" s="1223"/>
      <c r="K25" s="1223"/>
      <c r="L25" s="1223"/>
      <c r="M25" s="1223"/>
      <c r="N25" s="1243"/>
      <c r="O25" s="1223"/>
      <c r="P25" s="1223"/>
      <c r="Q25" s="1223"/>
      <c r="R25" s="1223"/>
    </row>
    <row r="26" spans="2:19">
      <c r="B26" s="1228">
        <v>2</v>
      </c>
      <c r="C26" s="1229" t="s">
        <v>921</v>
      </c>
      <c r="D26" s="1234">
        <v>-490500</v>
      </c>
      <c r="E26" s="1236" t="s">
        <v>926</v>
      </c>
      <c r="F26" s="1230">
        <v>0</v>
      </c>
      <c r="G26" s="1230"/>
      <c r="H26" s="1237" t="s">
        <v>927</v>
      </c>
      <c r="I26" s="1223"/>
      <c r="J26" s="1223"/>
      <c r="K26" s="1223"/>
      <c r="L26" s="1223"/>
      <c r="M26" s="1223"/>
      <c r="N26" s="1244"/>
      <c r="O26" s="1223"/>
      <c r="P26" s="1223"/>
      <c r="Q26" s="1223"/>
      <c r="R26" s="1223"/>
    </row>
    <row r="27" spans="2:19">
      <c r="B27" s="1228">
        <v>5</v>
      </c>
      <c r="C27" s="1229" t="s">
        <v>922</v>
      </c>
      <c r="D27" s="1234">
        <v>-853700</v>
      </c>
      <c r="E27" s="1236" t="s">
        <v>926</v>
      </c>
      <c r="F27" s="1230">
        <v>0</v>
      </c>
      <c r="G27" s="1230"/>
      <c r="H27" s="1237" t="s">
        <v>927</v>
      </c>
      <c r="I27" s="1239"/>
      <c r="J27" s="1239"/>
      <c r="K27" s="1239"/>
      <c r="L27" s="1239"/>
      <c r="M27" s="1239"/>
      <c r="N27" s="1245"/>
      <c r="O27" s="1223"/>
      <c r="P27" s="1223"/>
      <c r="Q27" s="1223"/>
      <c r="R27" s="1223"/>
    </row>
    <row r="28" spans="2:19">
      <c r="B28" s="1228">
        <v>6</v>
      </c>
      <c r="C28" s="1229" t="s">
        <v>923</v>
      </c>
      <c r="D28" s="1234">
        <v>49923650</v>
      </c>
      <c r="E28" s="1230">
        <v>0</v>
      </c>
      <c r="F28" s="1230">
        <v>49923650</v>
      </c>
      <c r="G28" s="1230">
        <f>D28-E28-F28</f>
        <v>0</v>
      </c>
      <c r="H28" s="1237" t="s">
        <v>914</v>
      </c>
      <c r="I28" s="1239"/>
      <c r="J28" s="1239"/>
      <c r="K28" s="1239"/>
      <c r="L28" s="1239"/>
      <c r="M28" s="1239"/>
      <c r="N28" s="1239"/>
      <c r="O28" s="1223"/>
      <c r="P28" s="1223"/>
      <c r="Q28" s="1223"/>
      <c r="R28" s="1223"/>
    </row>
    <row r="29" spans="2:19">
      <c r="B29" s="1992" t="s">
        <v>9</v>
      </c>
      <c r="C29" s="1992"/>
      <c r="D29" s="1220">
        <f>SUM(D26:D28)</f>
        <v>48579450</v>
      </c>
      <c r="E29" s="1220">
        <f>SUM(E26:E28)</f>
        <v>0</v>
      </c>
      <c r="F29" s="1220">
        <f>SUM(F26:F28)</f>
        <v>49923650</v>
      </c>
      <c r="G29" s="1220"/>
      <c r="H29" s="1238"/>
      <c r="I29" s="1239"/>
      <c r="J29" s="1239"/>
      <c r="K29" s="1239"/>
      <c r="L29" s="1239"/>
      <c r="M29" s="1239"/>
      <c r="N29" s="1239"/>
      <c r="O29" s="1223"/>
      <c r="P29" s="1223"/>
      <c r="Q29" s="1223"/>
      <c r="R29" s="1223"/>
    </row>
    <row r="30" spans="2:19">
      <c r="B30" s="1239"/>
      <c r="C30" s="1239"/>
      <c r="D30" s="1239"/>
      <c r="E30" s="1239"/>
      <c r="F30" s="1239"/>
      <c r="G30" s="1239"/>
      <c r="H30" s="1239"/>
      <c r="I30" s="1239"/>
      <c r="J30" s="1239"/>
      <c r="K30" s="1239"/>
      <c r="L30" s="1239"/>
      <c r="M30" s="1239"/>
      <c r="N30" s="1239"/>
      <c r="O30" s="1223"/>
      <c r="P30" s="1223"/>
      <c r="Q30" s="1223"/>
      <c r="R30" s="1223"/>
    </row>
    <row r="31" spans="2:19">
      <c r="B31" s="1239"/>
      <c r="C31" s="1239"/>
      <c r="D31" s="1239"/>
      <c r="E31" s="1239"/>
      <c r="F31" s="1239"/>
      <c r="G31" s="1239"/>
      <c r="H31" s="1239"/>
      <c r="I31" s="1239"/>
      <c r="J31" s="1239"/>
      <c r="K31" s="1239"/>
      <c r="L31" s="1239"/>
      <c r="M31" s="1239"/>
      <c r="N31" s="1239"/>
      <c r="O31" s="1239"/>
      <c r="P31" s="1239"/>
      <c r="Q31" s="1239"/>
      <c r="R31" s="1239"/>
    </row>
    <row r="32" spans="2:19">
      <c r="B32" s="1239"/>
      <c r="C32" s="1239"/>
      <c r="D32" s="1239"/>
      <c r="E32" s="1239"/>
      <c r="F32" s="1239"/>
      <c r="G32" s="1239"/>
      <c r="H32" s="1239"/>
      <c r="I32" s="1239"/>
      <c r="J32" s="1239"/>
      <c r="K32" s="1239"/>
      <c r="L32" s="1239"/>
      <c r="M32" s="1239"/>
      <c r="N32" s="1239"/>
      <c r="O32" s="1239"/>
      <c r="P32" s="1239"/>
      <c r="Q32" s="1239"/>
      <c r="R32" s="1239"/>
    </row>
    <row r="33" spans="2:18">
      <c r="B33" s="1239"/>
      <c r="C33" s="1239"/>
      <c r="D33" s="1239"/>
      <c r="E33" s="1239"/>
      <c r="F33" s="1239"/>
      <c r="G33" s="1239"/>
      <c r="H33" s="1239"/>
      <c r="I33" s="1239"/>
      <c r="J33" s="1239"/>
      <c r="K33" s="1239"/>
      <c r="L33" s="1239"/>
      <c r="M33" s="1239"/>
      <c r="N33" s="1239"/>
      <c r="O33" s="1239"/>
      <c r="P33" s="1239"/>
      <c r="Q33" s="1239"/>
      <c r="R33" s="1239"/>
    </row>
    <row r="34" spans="2:18">
      <c r="B34" s="1239"/>
      <c r="C34" s="1239"/>
      <c r="D34" s="1239"/>
      <c r="E34" s="1239"/>
      <c r="F34" s="1239"/>
      <c r="G34" s="1239"/>
      <c r="H34" s="1239"/>
      <c r="I34" s="1239"/>
      <c r="J34" s="1239"/>
      <c r="K34" s="1239"/>
      <c r="L34" s="1239"/>
      <c r="M34" s="1239"/>
      <c r="N34" s="1239"/>
      <c r="O34" s="1239"/>
      <c r="P34" s="1239"/>
      <c r="Q34" s="1239"/>
      <c r="R34" s="1239"/>
    </row>
  </sheetData>
  <mergeCells count="14">
    <mergeCell ref="B12:C12"/>
    <mergeCell ref="B17:C17"/>
    <mergeCell ref="B23:C23"/>
    <mergeCell ref="B29:C29"/>
    <mergeCell ref="B6:B7"/>
    <mergeCell ref="C6:C7"/>
    <mergeCell ref="B2:R2"/>
    <mergeCell ref="B3:R3"/>
    <mergeCell ref="B4:R4"/>
    <mergeCell ref="F6:G6"/>
    <mergeCell ref="B9:C9"/>
    <mergeCell ref="D6:D7"/>
    <mergeCell ref="E6:E7"/>
    <mergeCell ref="H6:H7"/>
  </mergeCells>
  <pageMargins left="0.71" right="0.15972222222222199" top="0.95" bottom="0.75" header="0.30972222222222201" footer="0.30972222222222201"/>
  <pageSetup paperSize="9" scale="65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00B0F0"/>
  </sheetPr>
  <dimension ref="A1:N693"/>
  <sheetViews>
    <sheetView view="pageBreakPreview" zoomScale="78" zoomScaleNormal="70" zoomScaleSheetLayoutView="78" workbookViewId="0">
      <selection activeCell="A88" sqref="A88"/>
    </sheetView>
  </sheetViews>
  <sheetFormatPr defaultColWidth="9" defaultRowHeight="15.75"/>
  <cols>
    <col min="1" max="1" width="5" style="463" customWidth="1"/>
    <col min="2" max="2" width="58" style="463" customWidth="1"/>
    <col min="3" max="3" width="26.85546875" style="463" customWidth="1"/>
    <col min="4" max="4" width="26.28515625" style="464" customWidth="1"/>
    <col min="5" max="5" width="26.42578125" style="464" customWidth="1"/>
    <col min="6" max="6" width="27.7109375" style="464" customWidth="1"/>
    <col min="7" max="7" width="25.140625" style="464" customWidth="1"/>
    <col min="8" max="8" width="25.7109375" style="464" customWidth="1"/>
    <col min="9" max="9" width="28" style="463" customWidth="1"/>
    <col min="10" max="10" width="19.28515625" style="463" customWidth="1"/>
    <col min="11" max="256" width="9.140625" style="463"/>
    <col min="257" max="257" width="5" style="463" customWidth="1"/>
    <col min="258" max="258" width="58" style="463" customWidth="1"/>
    <col min="259" max="259" width="26.85546875" style="463" customWidth="1"/>
    <col min="260" max="260" width="26.28515625" style="463" customWidth="1"/>
    <col min="261" max="261" width="26.42578125" style="463" customWidth="1"/>
    <col min="262" max="262" width="27.7109375" style="463" customWidth="1"/>
    <col min="263" max="263" width="25.140625" style="463" customWidth="1"/>
    <col min="264" max="264" width="25.7109375" style="463" customWidth="1"/>
    <col min="265" max="265" width="28" style="463" customWidth="1"/>
    <col min="266" max="266" width="19.28515625" style="463" customWidth="1"/>
    <col min="267" max="512" width="9.140625" style="463"/>
    <col min="513" max="513" width="5" style="463" customWidth="1"/>
    <col min="514" max="514" width="58" style="463" customWidth="1"/>
    <col min="515" max="515" width="26.85546875" style="463" customWidth="1"/>
    <col min="516" max="516" width="26.28515625" style="463" customWidth="1"/>
    <col min="517" max="517" width="26.42578125" style="463" customWidth="1"/>
    <col min="518" max="518" width="27.7109375" style="463" customWidth="1"/>
    <col min="519" max="519" width="25.140625" style="463" customWidth="1"/>
    <col min="520" max="520" width="25.7109375" style="463" customWidth="1"/>
    <col min="521" max="521" width="28" style="463" customWidth="1"/>
    <col min="522" max="522" width="19.28515625" style="463" customWidth="1"/>
    <col min="523" max="768" width="9.140625" style="463"/>
    <col min="769" max="769" width="5" style="463" customWidth="1"/>
    <col min="770" max="770" width="58" style="463" customWidth="1"/>
    <col min="771" max="771" width="26.85546875" style="463" customWidth="1"/>
    <col min="772" max="772" width="26.28515625" style="463" customWidth="1"/>
    <col min="773" max="773" width="26.42578125" style="463" customWidth="1"/>
    <col min="774" max="774" width="27.7109375" style="463" customWidth="1"/>
    <col min="775" max="775" width="25.140625" style="463" customWidth="1"/>
    <col min="776" max="776" width="25.7109375" style="463" customWidth="1"/>
    <col min="777" max="777" width="28" style="463" customWidth="1"/>
    <col min="778" max="778" width="19.28515625" style="463" customWidth="1"/>
    <col min="779" max="1024" width="9.140625" style="463"/>
    <col min="1025" max="1025" width="5" style="463" customWidth="1"/>
    <col min="1026" max="1026" width="58" style="463" customWidth="1"/>
    <col min="1027" max="1027" width="26.85546875" style="463" customWidth="1"/>
    <col min="1028" max="1028" width="26.28515625" style="463" customWidth="1"/>
    <col min="1029" max="1029" width="26.42578125" style="463" customWidth="1"/>
    <col min="1030" max="1030" width="27.7109375" style="463" customWidth="1"/>
    <col min="1031" max="1031" width="25.140625" style="463" customWidth="1"/>
    <col min="1032" max="1032" width="25.7109375" style="463" customWidth="1"/>
    <col min="1033" max="1033" width="28" style="463" customWidth="1"/>
    <col min="1034" max="1034" width="19.28515625" style="463" customWidth="1"/>
    <col min="1035" max="1280" width="9.140625" style="463"/>
    <col min="1281" max="1281" width="5" style="463" customWidth="1"/>
    <col min="1282" max="1282" width="58" style="463" customWidth="1"/>
    <col min="1283" max="1283" width="26.85546875" style="463" customWidth="1"/>
    <col min="1284" max="1284" width="26.28515625" style="463" customWidth="1"/>
    <col min="1285" max="1285" width="26.42578125" style="463" customWidth="1"/>
    <col min="1286" max="1286" width="27.7109375" style="463" customWidth="1"/>
    <col min="1287" max="1287" width="25.140625" style="463" customWidth="1"/>
    <col min="1288" max="1288" width="25.7109375" style="463" customWidth="1"/>
    <col min="1289" max="1289" width="28" style="463" customWidth="1"/>
    <col min="1290" max="1290" width="19.28515625" style="463" customWidth="1"/>
    <col min="1291" max="1536" width="9.140625" style="463"/>
    <col min="1537" max="1537" width="5" style="463" customWidth="1"/>
    <col min="1538" max="1538" width="58" style="463" customWidth="1"/>
    <col min="1539" max="1539" width="26.85546875" style="463" customWidth="1"/>
    <col min="1540" max="1540" width="26.28515625" style="463" customWidth="1"/>
    <col min="1541" max="1541" width="26.42578125" style="463" customWidth="1"/>
    <col min="1542" max="1542" width="27.7109375" style="463" customWidth="1"/>
    <col min="1543" max="1543" width="25.140625" style="463" customWidth="1"/>
    <col min="1544" max="1544" width="25.7109375" style="463" customWidth="1"/>
    <col min="1545" max="1545" width="28" style="463" customWidth="1"/>
    <col min="1546" max="1546" width="19.28515625" style="463" customWidth="1"/>
    <col min="1547" max="1792" width="9.140625" style="463"/>
    <col min="1793" max="1793" width="5" style="463" customWidth="1"/>
    <col min="1794" max="1794" width="58" style="463" customWidth="1"/>
    <col min="1795" max="1795" width="26.85546875" style="463" customWidth="1"/>
    <col min="1796" max="1796" width="26.28515625" style="463" customWidth="1"/>
    <col min="1797" max="1797" width="26.42578125" style="463" customWidth="1"/>
    <col min="1798" max="1798" width="27.7109375" style="463" customWidth="1"/>
    <col min="1799" max="1799" width="25.140625" style="463" customWidth="1"/>
    <col min="1800" max="1800" width="25.7109375" style="463" customWidth="1"/>
    <col min="1801" max="1801" width="28" style="463" customWidth="1"/>
    <col min="1802" max="1802" width="19.28515625" style="463" customWidth="1"/>
    <col min="1803" max="2048" width="9.140625" style="463"/>
    <col min="2049" max="2049" width="5" style="463" customWidth="1"/>
    <col min="2050" max="2050" width="58" style="463" customWidth="1"/>
    <col min="2051" max="2051" width="26.85546875" style="463" customWidth="1"/>
    <col min="2052" max="2052" width="26.28515625" style="463" customWidth="1"/>
    <col min="2053" max="2053" width="26.42578125" style="463" customWidth="1"/>
    <col min="2054" max="2054" width="27.7109375" style="463" customWidth="1"/>
    <col min="2055" max="2055" width="25.140625" style="463" customWidth="1"/>
    <col min="2056" max="2056" width="25.7109375" style="463" customWidth="1"/>
    <col min="2057" max="2057" width="28" style="463" customWidth="1"/>
    <col min="2058" max="2058" width="19.28515625" style="463" customWidth="1"/>
    <col min="2059" max="2304" width="9.140625" style="463"/>
    <col min="2305" max="2305" width="5" style="463" customWidth="1"/>
    <col min="2306" max="2306" width="58" style="463" customWidth="1"/>
    <col min="2307" max="2307" width="26.85546875" style="463" customWidth="1"/>
    <col min="2308" max="2308" width="26.28515625" style="463" customWidth="1"/>
    <col min="2309" max="2309" width="26.42578125" style="463" customWidth="1"/>
    <col min="2310" max="2310" width="27.7109375" style="463" customWidth="1"/>
    <col min="2311" max="2311" width="25.140625" style="463" customWidth="1"/>
    <col min="2312" max="2312" width="25.7109375" style="463" customWidth="1"/>
    <col min="2313" max="2313" width="28" style="463" customWidth="1"/>
    <col min="2314" max="2314" width="19.28515625" style="463" customWidth="1"/>
    <col min="2315" max="2560" width="9.140625" style="463"/>
    <col min="2561" max="2561" width="5" style="463" customWidth="1"/>
    <col min="2562" max="2562" width="58" style="463" customWidth="1"/>
    <col min="2563" max="2563" width="26.85546875" style="463" customWidth="1"/>
    <col min="2564" max="2564" width="26.28515625" style="463" customWidth="1"/>
    <col min="2565" max="2565" width="26.42578125" style="463" customWidth="1"/>
    <col min="2566" max="2566" width="27.7109375" style="463" customWidth="1"/>
    <col min="2567" max="2567" width="25.140625" style="463" customWidth="1"/>
    <col min="2568" max="2568" width="25.7109375" style="463" customWidth="1"/>
    <col min="2569" max="2569" width="28" style="463" customWidth="1"/>
    <col min="2570" max="2570" width="19.28515625" style="463" customWidth="1"/>
    <col min="2571" max="2816" width="9.140625" style="463"/>
    <col min="2817" max="2817" width="5" style="463" customWidth="1"/>
    <col min="2818" max="2818" width="58" style="463" customWidth="1"/>
    <col min="2819" max="2819" width="26.85546875" style="463" customWidth="1"/>
    <col min="2820" max="2820" width="26.28515625" style="463" customWidth="1"/>
    <col min="2821" max="2821" width="26.42578125" style="463" customWidth="1"/>
    <col min="2822" max="2822" width="27.7109375" style="463" customWidth="1"/>
    <col min="2823" max="2823" width="25.140625" style="463" customWidth="1"/>
    <col min="2824" max="2824" width="25.7109375" style="463" customWidth="1"/>
    <col min="2825" max="2825" width="28" style="463" customWidth="1"/>
    <col min="2826" max="2826" width="19.28515625" style="463" customWidth="1"/>
    <col min="2827" max="3072" width="9.140625" style="463"/>
    <col min="3073" max="3073" width="5" style="463" customWidth="1"/>
    <col min="3074" max="3074" width="58" style="463" customWidth="1"/>
    <col min="3075" max="3075" width="26.85546875" style="463" customWidth="1"/>
    <col min="3076" max="3076" width="26.28515625" style="463" customWidth="1"/>
    <col min="3077" max="3077" width="26.42578125" style="463" customWidth="1"/>
    <col min="3078" max="3078" width="27.7109375" style="463" customWidth="1"/>
    <col min="3079" max="3079" width="25.140625" style="463" customWidth="1"/>
    <col min="3080" max="3080" width="25.7109375" style="463" customWidth="1"/>
    <col min="3081" max="3081" width="28" style="463" customWidth="1"/>
    <col min="3082" max="3082" width="19.28515625" style="463" customWidth="1"/>
    <col min="3083" max="3328" width="9.140625" style="463"/>
    <col min="3329" max="3329" width="5" style="463" customWidth="1"/>
    <col min="3330" max="3330" width="58" style="463" customWidth="1"/>
    <col min="3331" max="3331" width="26.85546875" style="463" customWidth="1"/>
    <col min="3332" max="3332" width="26.28515625" style="463" customWidth="1"/>
    <col min="3333" max="3333" width="26.42578125" style="463" customWidth="1"/>
    <col min="3334" max="3334" width="27.7109375" style="463" customWidth="1"/>
    <col min="3335" max="3335" width="25.140625" style="463" customWidth="1"/>
    <col min="3336" max="3336" width="25.7109375" style="463" customWidth="1"/>
    <col min="3337" max="3337" width="28" style="463" customWidth="1"/>
    <col min="3338" max="3338" width="19.28515625" style="463" customWidth="1"/>
    <col min="3339" max="3584" width="9.140625" style="463"/>
    <col min="3585" max="3585" width="5" style="463" customWidth="1"/>
    <col min="3586" max="3586" width="58" style="463" customWidth="1"/>
    <col min="3587" max="3587" width="26.85546875" style="463" customWidth="1"/>
    <col min="3588" max="3588" width="26.28515625" style="463" customWidth="1"/>
    <col min="3589" max="3589" width="26.42578125" style="463" customWidth="1"/>
    <col min="3590" max="3590" width="27.7109375" style="463" customWidth="1"/>
    <col min="3591" max="3591" width="25.140625" style="463" customWidth="1"/>
    <col min="3592" max="3592" width="25.7109375" style="463" customWidth="1"/>
    <col min="3593" max="3593" width="28" style="463" customWidth="1"/>
    <col min="3594" max="3594" width="19.28515625" style="463" customWidth="1"/>
    <col min="3595" max="3840" width="9.140625" style="463"/>
    <col min="3841" max="3841" width="5" style="463" customWidth="1"/>
    <col min="3842" max="3842" width="58" style="463" customWidth="1"/>
    <col min="3843" max="3843" width="26.85546875" style="463" customWidth="1"/>
    <col min="3844" max="3844" width="26.28515625" style="463" customWidth="1"/>
    <col min="3845" max="3845" width="26.42578125" style="463" customWidth="1"/>
    <col min="3846" max="3846" width="27.7109375" style="463" customWidth="1"/>
    <col min="3847" max="3847" width="25.140625" style="463" customWidth="1"/>
    <col min="3848" max="3848" width="25.7109375" style="463" customWidth="1"/>
    <col min="3849" max="3849" width="28" style="463" customWidth="1"/>
    <col min="3850" max="3850" width="19.28515625" style="463" customWidth="1"/>
    <col min="3851" max="4096" width="9.140625" style="463"/>
    <col min="4097" max="4097" width="5" style="463" customWidth="1"/>
    <col min="4098" max="4098" width="58" style="463" customWidth="1"/>
    <col min="4099" max="4099" width="26.85546875" style="463" customWidth="1"/>
    <col min="4100" max="4100" width="26.28515625" style="463" customWidth="1"/>
    <col min="4101" max="4101" width="26.42578125" style="463" customWidth="1"/>
    <col min="4102" max="4102" width="27.7109375" style="463" customWidth="1"/>
    <col min="4103" max="4103" width="25.140625" style="463" customWidth="1"/>
    <col min="4104" max="4104" width="25.7109375" style="463" customWidth="1"/>
    <col min="4105" max="4105" width="28" style="463" customWidth="1"/>
    <col min="4106" max="4106" width="19.28515625" style="463" customWidth="1"/>
    <col min="4107" max="4352" width="9.140625" style="463"/>
    <col min="4353" max="4353" width="5" style="463" customWidth="1"/>
    <col min="4354" max="4354" width="58" style="463" customWidth="1"/>
    <col min="4355" max="4355" width="26.85546875" style="463" customWidth="1"/>
    <col min="4356" max="4356" width="26.28515625" style="463" customWidth="1"/>
    <col min="4357" max="4357" width="26.42578125" style="463" customWidth="1"/>
    <col min="4358" max="4358" width="27.7109375" style="463" customWidth="1"/>
    <col min="4359" max="4359" width="25.140625" style="463" customWidth="1"/>
    <col min="4360" max="4360" width="25.7109375" style="463" customWidth="1"/>
    <col min="4361" max="4361" width="28" style="463" customWidth="1"/>
    <col min="4362" max="4362" width="19.28515625" style="463" customWidth="1"/>
    <col min="4363" max="4608" width="9.140625" style="463"/>
    <col min="4609" max="4609" width="5" style="463" customWidth="1"/>
    <col min="4610" max="4610" width="58" style="463" customWidth="1"/>
    <col min="4611" max="4611" width="26.85546875" style="463" customWidth="1"/>
    <col min="4612" max="4612" width="26.28515625" style="463" customWidth="1"/>
    <col min="4613" max="4613" width="26.42578125" style="463" customWidth="1"/>
    <col min="4614" max="4614" width="27.7109375" style="463" customWidth="1"/>
    <col min="4615" max="4615" width="25.140625" style="463" customWidth="1"/>
    <col min="4616" max="4616" width="25.7109375" style="463" customWidth="1"/>
    <col min="4617" max="4617" width="28" style="463" customWidth="1"/>
    <col min="4618" max="4618" width="19.28515625" style="463" customWidth="1"/>
    <col min="4619" max="4864" width="9.140625" style="463"/>
    <col min="4865" max="4865" width="5" style="463" customWidth="1"/>
    <col min="4866" max="4866" width="58" style="463" customWidth="1"/>
    <col min="4867" max="4867" width="26.85546875" style="463" customWidth="1"/>
    <col min="4868" max="4868" width="26.28515625" style="463" customWidth="1"/>
    <col min="4869" max="4869" width="26.42578125" style="463" customWidth="1"/>
    <col min="4870" max="4870" width="27.7109375" style="463" customWidth="1"/>
    <col min="4871" max="4871" width="25.140625" style="463" customWidth="1"/>
    <col min="4872" max="4872" width="25.7109375" style="463" customWidth="1"/>
    <col min="4873" max="4873" width="28" style="463" customWidth="1"/>
    <col min="4874" max="4874" width="19.28515625" style="463" customWidth="1"/>
    <col min="4875" max="5120" width="9.140625" style="463"/>
    <col min="5121" max="5121" width="5" style="463" customWidth="1"/>
    <col min="5122" max="5122" width="58" style="463" customWidth="1"/>
    <col min="5123" max="5123" width="26.85546875" style="463" customWidth="1"/>
    <col min="5124" max="5124" width="26.28515625" style="463" customWidth="1"/>
    <col min="5125" max="5125" width="26.42578125" style="463" customWidth="1"/>
    <col min="5126" max="5126" width="27.7109375" style="463" customWidth="1"/>
    <col min="5127" max="5127" width="25.140625" style="463" customWidth="1"/>
    <col min="5128" max="5128" width="25.7109375" style="463" customWidth="1"/>
    <col min="5129" max="5129" width="28" style="463" customWidth="1"/>
    <col min="5130" max="5130" width="19.28515625" style="463" customWidth="1"/>
    <col min="5131" max="5376" width="9.140625" style="463"/>
    <col min="5377" max="5377" width="5" style="463" customWidth="1"/>
    <col min="5378" max="5378" width="58" style="463" customWidth="1"/>
    <col min="5379" max="5379" width="26.85546875" style="463" customWidth="1"/>
    <col min="5380" max="5380" width="26.28515625" style="463" customWidth="1"/>
    <col min="5381" max="5381" width="26.42578125" style="463" customWidth="1"/>
    <col min="5382" max="5382" width="27.7109375" style="463" customWidth="1"/>
    <col min="5383" max="5383" width="25.140625" style="463" customWidth="1"/>
    <col min="5384" max="5384" width="25.7109375" style="463" customWidth="1"/>
    <col min="5385" max="5385" width="28" style="463" customWidth="1"/>
    <col min="5386" max="5386" width="19.28515625" style="463" customWidth="1"/>
    <col min="5387" max="5632" width="9.140625" style="463"/>
    <col min="5633" max="5633" width="5" style="463" customWidth="1"/>
    <col min="5634" max="5634" width="58" style="463" customWidth="1"/>
    <col min="5635" max="5635" width="26.85546875" style="463" customWidth="1"/>
    <col min="5636" max="5636" width="26.28515625" style="463" customWidth="1"/>
    <col min="5637" max="5637" width="26.42578125" style="463" customWidth="1"/>
    <col min="5638" max="5638" width="27.7109375" style="463" customWidth="1"/>
    <col min="5639" max="5639" width="25.140625" style="463" customWidth="1"/>
    <col min="5640" max="5640" width="25.7109375" style="463" customWidth="1"/>
    <col min="5641" max="5641" width="28" style="463" customWidth="1"/>
    <col min="5642" max="5642" width="19.28515625" style="463" customWidth="1"/>
    <col min="5643" max="5888" width="9.140625" style="463"/>
    <col min="5889" max="5889" width="5" style="463" customWidth="1"/>
    <col min="5890" max="5890" width="58" style="463" customWidth="1"/>
    <col min="5891" max="5891" width="26.85546875" style="463" customWidth="1"/>
    <col min="5892" max="5892" width="26.28515625" style="463" customWidth="1"/>
    <col min="5893" max="5893" width="26.42578125" style="463" customWidth="1"/>
    <col min="5894" max="5894" width="27.7109375" style="463" customWidth="1"/>
    <col min="5895" max="5895" width="25.140625" style="463" customWidth="1"/>
    <col min="5896" max="5896" width="25.7109375" style="463" customWidth="1"/>
    <col min="5897" max="5897" width="28" style="463" customWidth="1"/>
    <col min="5898" max="5898" width="19.28515625" style="463" customWidth="1"/>
    <col min="5899" max="6144" width="9.140625" style="463"/>
    <col min="6145" max="6145" width="5" style="463" customWidth="1"/>
    <col min="6146" max="6146" width="58" style="463" customWidth="1"/>
    <col min="6147" max="6147" width="26.85546875" style="463" customWidth="1"/>
    <col min="6148" max="6148" width="26.28515625" style="463" customWidth="1"/>
    <col min="6149" max="6149" width="26.42578125" style="463" customWidth="1"/>
    <col min="6150" max="6150" width="27.7109375" style="463" customWidth="1"/>
    <col min="6151" max="6151" width="25.140625" style="463" customWidth="1"/>
    <col min="6152" max="6152" width="25.7109375" style="463" customWidth="1"/>
    <col min="6153" max="6153" width="28" style="463" customWidth="1"/>
    <col min="6154" max="6154" width="19.28515625" style="463" customWidth="1"/>
    <col min="6155" max="6400" width="9.140625" style="463"/>
    <col min="6401" max="6401" width="5" style="463" customWidth="1"/>
    <col min="6402" max="6402" width="58" style="463" customWidth="1"/>
    <col min="6403" max="6403" width="26.85546875" style="463" customWidth="1"/>
    <col min="6404" max="6404" width="26.28515625" style="463" customWidth="1"/>
    <col min="6405" max="6405" width="26.42578125" style="463" customWidth="1"/>
    <col min="6406" max="6406" width="27.7109375" style="463" customWidth="1"/>
    <col min="6407" max="6407" width="25.140625" style="463" customWidth="1"/>
    <col min="6408" max="6408" width="25.7109375" style="463" customWidth="1"/>
    <col min="6409" max="6409" width="28" style="463" customWidth="1"/>
    <col min="6410" max="6410" width="19.28515625" style="463" customWidth="1"/>
    <col min="6411" max="6656" width="9.140625" style="463"/>
    <col min="6657" max="6657" width="5" style="463" customWidth="1"/>
    <col min="6658" max="6658" width="58" style="463" customWidth="1"/>
    <col min="6659" max="6659" width="26.85546875" style="463" customWidth="1"/>
    <col min="6660" max="6660" width="26.28515625" style="463" customWidth="1"/>
    <col min="6661" max="6661" width="26.42578125" style="463" customWidth="1"/>
    <col min="6662" max="6662" width="27.7109375" style="463" customWidth="1"/>
    <col min="6663" max="6663" width="25.140625" style="463" customWidth="1"/>
    <col min="6664" max="6664" width="25.7109375" style="463" customWidth="1"/>
    <col min="6665" max="6665" width="28" style="463" customWidth="1"/>
    <col min="6666" max="6666" width="19.28515625" style="463" customWidth="1"/>
    <col min="6667" max="6912" width="9.140625" style="463"/>
    <col min="6913" max="6913" width="5" style="463" customWidth="1"/>
    <col min="6914" max="6914" width="58" style="463" customWidth="1"/>
    <col min="6915" max="6915" width="26.85546875" style="463" customWidth="1"/>
    <col min="6916" max="6916" width="26.28515625" style="463" customWidth="1"/>
    <col min="6917" max="6917" width="26.42578125" style="463" customWidth="1"/>
    <col min="6918" max="6918" width="27.7109375" style="463" customWidth="1"/>
    <col min="6919" max="6919" width="25.140625" style="463" customWidth="1"/>
    <col min="6920" max="6920" width="25.7109375" style="463" customWidth="1"/>
    <col min="6921" max="6921" width="28" style="463" customWidth="1"/>
    <col min="6922" max="6922" width="19.28515625" style="463" customWidth="1"/>
    <col min="6923" max="7168" width="9.140625" style="463"/>
    <col min="7169" max="7169" width="5" style="463" customWidth="1"/>
    <col min="7170" max="7170" width="58" style="463" customWidth="1"/>
    <col min="7171" max="7171" width="26.85546875" style="463" customWidth="1"/>
    <col min="7172" max="7172" width="26.28515625" style="463" customWidth="1"/>
    <col min="7173" max="7173" width="26.42578125" style="463" customWidth="1"/>
    <col min="7174" max="7174" width="27.7109375" style="463" customWidth="1"/>
    <col min="7175" max="7175" width="25.140625" style="463" customWidth="1"/>
    <col min="7176" max="7176" width="25.7109375" style="463" customWidth="1"/>
    <col min="7177" max="7177" width="28" style="463" customWidth="1"/>
    <col min="7178" max="7178" width="19.28515625" style="463" customWidth="1"/>
    <col min="7179" max="7424" width="9.140625" style="463"/>
    <col min="7425" max="7425" width="5" style="463" customWidth="1"/>
    <col min="7426" max="7426" width="58" style="463" customWidth="1"/>
    <col min="7427" max="7427" width="26.85546875" style="463" customWidth="1"/>
    <col min="7428" max="7428" width="26.28515625" style="463" customWidth="1"/>
    <col min="7429" max="7429" width="26.42578125" style="463" customWidth="1"/>
    <col min="7430" max="7430" width="27.7109375" style="463" customWidth="1"/>
    <col min="7431" max="7431" width="25.140625" style="463" customWidth="1"/>
    <col min="7432" max="7432" width="25.7109375" style="463" customWidth="1"/>
    <col min="7433" max="7433" width="28" style="463" customWidth="1"/>
    <col min="7434" max="7434" width="19.28515625" style="463" customWidth="1"/>
    <col min="7435" max="7680" width="9.140625" style="463"/>
    <col min="7681" max="7681" width="5" style="463" customWidth="1"/>
    <col min="7682" max="7682" width="58" style="463" customWidth="1"/>
    <col min="7683" max="7683" width="26.85546875" style="463" customWidth="1"/>
    <col min="7684" max="7684" width="26.28515625" style="463" customWidth="1"/>
    <col min="7685" max="7685" width="26.42578125" style="463" customWidth="1"/>
    <col min="7686" max="7686" width="27.7109375" style="463" customWidth="1"/>
    <col min="7687" max="7687" width="25.140625" style="463" customWidth="1"/>
    <col min="7688" max="7688" width="25.7109375" style="463" customWidth="1"/>
    <col min="7689" max="7689" width="28" style="463" customWidth="1"/>
    <col min="7690" max="7690" width="19.28515625" style="463" customWidth="1"/>
    <col min="7691" max="7936" width="9.140625" style="463"/>
    <col min="7937" max="7937" width="5" style="463" customWidth="1"/>
    <col min="7938" max="7938" width="58" style="463" customWidth="1"/>
    <col min="7939" max="7939" width="26.85546875" style="463" customWidth="1"/>
    <col min="7940" max="7940" width="26.28515625" style="463" customWidth="1"/>
    <col min="7941" max="7941" width="26.42578125" style="463" customWidth="1"/>
    <col min="7942" max="7942" width="27.7109375" style="463" customWidth="1"/>
    <col min="7943" max="7943" width="25.140625" style="463" customWidth="1"/>
    <col min="7944" max="7944" width="25.7109375" style="463" customWidth="1"/>
    <col min="7945" max="7945" width="28" style="463" customWidth="1"/>
    <col min="7946" max="7946" width="19.28515625" style="463" customWidth="1"/>
    <col min="7947" max="8192" width="9.140625" style="463"/>
    <col min="8193" max="8193" width="5" style="463" customWidth="1"/>
    <col min="8194" max="8194" width="58" style="463" customWidth="1"/>
    <col min="8195" max="8195" width="26.85546875" style="463" customWidth="1"/>
    <col min="8196" max="8196" width="26.28515625" style="463" customWidth="1"/>
    <col min="8197" max="8197" width="26.42578125" style="463" customWidth="1"/>
    <col min="8198" max="8198" width="27.7109375" style="463" customWidth="1"/>
    <col min="8199" max="8199" width="25.140625" style="463" customWidth="1"/>
    <col min="8200" max="8200" width="25.7109375" style="463" customWidth="1"/>
    <col min="8201" max="8201" width="28" style="463" customWidth="1"/>
    <col min="8202" max="8202" width="19.28515625" style="463" customWidth="1"/>
    <col min="8203" max="8448" width="9.140625" style="463"/>
    <col min="8449" max="8449" width="5" style="463" customWidth="1"/>
    <col min="8450" max="8450" width="58" style="463" customWidth="1"/>
    <col min="8451" max="8451" width="26.85546875" style="463" customWidth="1"/>
    <col min="8452" max="8452" width="26.28515625" style="463" customWidth="1"/>
    <col min="8453" max="8453" width="26.42578125" style="463" customWidth="1"/>
    <col min="8454" max="8454" width="27.7109375" style="463" customWidth="1"/>
    <col min="8455" max="8455" width="25.140625" style="463" customWidth="1"/>
    <col min="8456" max="8456" width="25.7109375" style="463" customWidth="1"/>
    <col min="8457" max="8457" width="28" style="463" customWidth="1"/>
    <col min="8458" max="8458" width="19.28515625" style="463" customWidth="1"/>
    <col min="8459" max="8704" width="9.140625" style="463"/>
    <col min="8705" max="8705" width="5" style="463" customWidth="1"/>
    <col min="8706" max="8706" width="58" style="463" customWidth="1"/>
    <col min="8707" max="8707" width="26.85546875" style="463" customWidth="1"/>
    <col min="8708" max="8708" width="26.28515625" style="463" customWidth="1"/>
    <col min="8709" max="8709" width="26.42578125" style="463" customWidth="1"/>
    <col min="8710" max="8710" width="27.7109375" style="463" customWidth="1"/>
    <col min="8711" max="8711" width="25.140625" style="463" customWidth="1"/>
    <col min="8712" max="8712" width="25.7109375" style="463" customWidth="1"/>
    <col min="8713" max="8713" width="28" style="463" customWidth="1"/>
    <col min="8714" max="8714" width="19.28515625" style="463" customWidth="1"/>
    <col min="8715" max="8960" width="9.140625" style="463"/>
    <col min="8961" max="8961" width="5" style="463" customWidth="1"/>
    <col min="8962" max="8962" width="58" style="463" customWidth="1"/>
    <col min="8963" max="8963" width="26.85546875" style="463" customWidth="1"/>
    <col min="8964" max="8964" width="26.28515625" style="463" customWidth="1"/>
    <col min="8965" max="8965" width="26.42578125" style="463" customWidth="1"/>
    <col min="8966" max="8966" width="27.7109375" style="463" customWidth="1"/>
    <col min="8967" max="8967" width="25.140625" style="463" customWidth="1"/>
    <col min="8968" max="8968" width="25.7109375" style="463" customWidth="1"/>
    <col min="8969" max="8969" width="28" style="463" customWidth="1"/>
    <col min="8970" max="8970" width="19.28515625" style="463" customWidth="1"/>
    <col min="8971" max="9216" width="9.140625" style="463"/>
    <col min="9217" max="9217" width="5" style="463" customWidth="1"/>
    <col min="9218" max="9218" width="58" style="463" customWidth="1"/>
    <col min="9219" max="9219" width="26.85546875" style="463" customWidth="1"/>
    <col min="9220" max="9220" width="26.28515625" style="463" customWidth="1"/>
    <col min="9221" max="9221" width="26.42578125" style="463" customWidth="1"/>
    <col min="9222" max="9222" width="27.7109375" style="463" customWidth="1"/>
    <col min="9223" max="9223" width="25.140625" style="463" customWidth="1"/>
    <col min="9224" max="9224" width="25.7109375" style="463" customWidth="1"/>
    <col min="9225" max="9225" width="28" style="463" customWidth="1"/>
    <col min="9226" max="9226" width="19.28515625" style="463" customWidth="1"/>
    <col min="9227" max="9472" width="9.140625" style="463"/>
    <col min="9473" max="9473" width="5" style="463" customWidth="1"/>
    <col min="9474" max="9474" width="58" style="463" customWidth="1"/>
    <col min="9475" max="9475" width="26.85546875" style="463" customWidth="1"/>
    <col min="9476" max="9476" width="26.28515625" style="463" customWidth="1"/>
    <col min="9477" max="9477" width="26.42578125" style="463" customWidth="1"/>
    <col min="9478" max="9478" width="27.7109375" style="463" customWidth="1"/>
    <col min="9479" max="9479" width="25.140625" style="463" customWidth="1"/>
    <col min="9480" max="9480" width="25.7109375" style="463" customWidth="1"/>
    <col min="9481" max="9481" width="28" style="463" customWidth="1"/>
    <col min="9482" max="9482" width="19.28515625" style="463" customWidth="1"/>
    <col min="9483" max="9728" width="9.140625" style="463"/>
    <col min="9729" max="9729" width="5" style="463" customWidth="1"/>
    <col min="9730" max="9730" width="58" style="463" customWidth="1"/>
    <col min="9731" max="9731" width="26.85546875" style="463" customWidth="1"/>
    <col min="9732" max="9732" width="26.28515625" style="463" customWidth="1"/>
    <col min="9733" max="9733" width="26.42578125" style="463" customWidth="1"/>
    <col min="9734" max="9734" width="27.7109375" style="463" customWidth="1"/>
    <col min="9735" max="9735" width="25.140625" style="463" customWidth="1"/>
    <col min="9736" max="9736" width="25.7109375" style="463" customWidth="1"/>
    <col min="9737" max="9737" width="28" style="463" customWidth="1"/>
    <col min="9738" max="9738" width="19.28515625" style="463" customWidth="1"/>
    <col min="9739" max="9984" width="9.140625" style="463"/>
    <col min="9985" max="9985" width="5" style="463" customWidth="1"/>
    <col min="9986" max="9986" width="58" style="463" customWidth="1"/>
    <col min="9987" max="9987" width="26.85546875" style="463" customWidth="1"/>
    <col min="9988" max="9988" width="26.28515625" style="463" customWidth="1"/>
    <col min="9989" max="9989" width="26.42578125" style="463" customWidth="1"/>
    <col min="9990" max="9990" width="27.7109375" style="463" customWidth="1"/>
    <col min="9991" max="9991" width="25.140625" style="463" customWidth="1"/>
    <col min="9992" max="9992" width="25.7109375" style="463" customWidth="1"/>
    <col min="9993" max="9993" width="28" style="463" customWidth="1"/>
    <col min="9994" max="9994" width="19.28515625" style="463" customWidth="1"/>
    <col min="9995" max="10240" width="9.140625" style="463"/>
    <col min="10241" max="10241" width="5" style="463" customWidth="1"/>
    <col min="10242" max="10242" width="58" style="463" customWidth="1"/>
    <col min="10243" max="10243" width="26.85546875" style="463" customWidth="1"/>
    <col min="10244" max="10244" width="26.28515625" style="463" customWidth="1"/>
    <col min="10245" max="10245" width="26.42578125" style="463" customWidth="1"/>
    <col min="10246" max="10246" width="27.7109375" style="463" customWidth="1"/>
    <col min="10247" max="10247" width="25.140625" style="463" customWidth="1"/>
    <col min="10248" max="10248" width="25.7109375" style="463" customWidth="1"/>
    <col min="10249" max="10249" width="28" style="463" customWidth="1"/>
    <col min="10250" max="10250" width="19.28515625" style="463" customWidth="1"/>
    <col min="10251" max="10496" width="9.140625" style="463"/>
    <col min="10497" max="10497" width="5" style="463" customWidth="1"/>
    <col min="10498" max="10498" width="58" style="463" customWidth="1"/>
    <col min="10499" max="10499" width="26.85546875" style="463" customWidth="1"/>
    <col min="10500" max="10500" width="26.28515625" style="463" customWidth="1"/>
    <col min="10501" max="10501" width="26.42578125" style="463" customWidth="1"/>
    <col min="10502" max="10502" width="27.7109375" style="463" customWidth="1"/>
    <col min="10503" max="10503" width="25.140625" style="463" customWidth="1"/>
    <col min="10504" max="10504" width="25.7109375" style="463" customWidth="1"/>
    <col min="10505" max="10505" width="28" style="463" customWidth="1"/>
    <col min="10506" max="10506" width="19.28515625" style="463" customWidth="1"/>
    <col min="10507" max="10752" width="9.140625" style="463"/>
    <col min="10753" max="10753" width="5" style="463" customWidth="1"/>
    <col min="10754" max="10754" width="58" style="463" customWidth="1"/>
    <col min="10755" max="10755" width="26.85546875" style="463" customWidth="1"/>
    <col min="10756" max="10756" width="26.28515625" style="463" customWidth="1"/>
    <col min="10757" max="10757" width="26.42578125" style="463" customWidth="1"/>
    <col min="10758" max="10758" width="27.7109375" style="463" customWidth="1"/>
    <col min="10759" max="10759" width="25.140625" style="463" customWidth="1"/>
    <col min="10760" max="10760" width="25.7109375" style="463" customWidth="1"/>
    <col min="10761" max="10761" width="28" style="463" customWidth="1"/>
    <col min="10762" max="10762" width="19.28515625" style="463" customWidth="1"/>
    <col min="10763" max="11008" width="9.140625" style="463"/>
    <col min="11009" max="11009" width="5" style="463" customWidth="1"/>
    <col min="11010" max="11010" width="58" style="463" customWidth="1"/>
    <col min="11011" max="11011" width="26.85546875" style="463" customWidth="1"/>
    <col min="11012" max="11012" width="26.28515625" style="463" customWidth="1"/>
    <col min="11013" max="11013" width="26.42578125" style="463" customWidth="1"/>
    <col min="11014" max="11014" width="27.7109375" style="463" customWidth="1"/>
    <col min="11015" max="11015" width="25.140625" style="463" customWidth="1"/>
    <col min="11016" max="11016" width="25.7109375" style="463" customWidth="1"/>
    <col min="11017" max="11017" width="28" style="463" customWidth="1"/>
    <col min="11018" max="11018" width="19.28515625" style="463" customWidth="1"/>
    <col min="11019" max="11264" width="9.140625" style="463"/>
    <col min="11265" max="11265" width="5" style="463" customWidth="1"/>
    <col min="11266" max="11266" width="58" style="463" customWidth="1"/>
    <col min="11267" max="11267" width="26.85546875" style="463" customWidth="1"/>
    <col min="11268" max="11268" width="26.28515625" style="463" customWidth="1"/>
    <col min="11269" max="11269" width="26.42578125" style="463" customWidth="1"/>
    <col min="11270" max="11270" width="27.7109375" style="463" customWidth="1"/>
    <col min="11271" max="11271" width="25.140625" style="463" customWidth="1"/>
    <col min="11272" max="11272" width="25.7109375" style="463" customWidth="1"/>
    <col min="11273" max="11273" width="28" style="463" customWidth="1"/>
    <col min="11274" max="11274" width="19.28515625" style="463" customWidth="1"/>
    <col min="11275" max="11520" width="9.140625" style="463"/>
    <col min="11521" max="11521" width="5" style="463" customWidth="1"/>
    <col min="11522" max="11522" width="58" style="463" customWidth="1"/>
    <col min="11523" max="11523" width="26.85546875" style="463" customWidth="1"/>
    <col min="11524" max="11524" width="26.28515625" style="463" customWidth="1"/>
    <col min="11525" max="11525" width="26.42578125" style="463" customWidth="1"/>
    <col min="11526" max="11526" width="27.7109375" style="463" customWidth="1"/>
    <col min="11527" max="11527" width="25.140625" style="463" customWidth="1"/>
    <col min="11528" max="11528" width="25.7109375" style="463" customWidth="1"/>
    <col min="11529" max="11529" width="28" style="463" customWidth="1"/>
    <col min="11530" max="11530" width="19.28515625" style="463" customWidth="1"/>
    <col min="11531" max="11776" width="9.140625" style="463"/>
    <col min="11777" max="11777" width="5" style="463" customWidth="1"/>
    <col min="11778" max="11778" width="58" style="463" customWidth="1"/>
    <col min="11779" max="11779" width="26.85546875" style="463" customWidth="1"/>
    <col min="11780" max="11780" width="26.28515625" style="463" customWidth="1"/>
    <col min="11781" max="11781" width="26.42578125" style="463" customWidth="1"/>
    <col min="11782" max="11782" width="27.7109375" style="463" customWidth="1"/>
    <col min="11783" max="11783" width="25.140625" style="463" customWidth="1"/>
    <col min="11784" max="11784" width="25.7109375" style="463" customWidth="1"/>
    <col min="11785" max="11785" width="28" style="463" customWidth="1"/>
    <col min="11786" max="11786" width="19.28515625" style="463" customWidth="1"/>
    <col min="11787" max="12032" width="9.140625" style="463"/>
    <col min="12033" max="12033" width="5" style="463" customWidth="1"/>
    <col min="12034" max="12034" width="58" style="463" customWidth="1"/>
    <col min="12035" max="12035" width="26.85546875" style="463" customWidth="1"/>
    <col min="12036" max="12036" width="26.28515625" style="463" customWidth="1"/>
    <col min="12037" max="12037" width="26.42578125" style="463" customWidth="1"/>
    <col min="12038" max="12038" width="27.7109375" style="463" customWidth="1"/>
    <col min="12039" max="12039" width="25.140625" style="463" customWidth="1"/>
    <col min="12040" max="12040" width="25.7109375" style="463" customWidth="1"/>
    <col min="12041" max="12041" width="28" style="463" customWidth="1"/>
    <col min="12042" max="12042" width="19.28515625" style="463" customWidth="1"/>
    <col min="12043" max="12288" width="9.140625" style="463"/>
    <col min="12289" max="12289" width="5" style="463" customWidth="1"/>
    <col min="12290" max="12290" width="58" style="463" customWidth="1"/>
    <col min="12291" max="12291" width="26.85546875" style="463" customWidth="1"/>
    <col min="12292" max="12292" width="26.28515625" style="463" customWidth="1"/>
    <col min="12293" max="12293" width="26.42578125" style="463" customWidth="1"/>
    <col min="12294" max="12294" width="27.7109375" style="463" customWidth="1"/>
    <col min="12295" max="12295" width="25.140625" style="463" customWidth="1"/>
    <col min="12296" max="12296" width="25.7109375" style="463" customWidth="1"/>
    <col min="12297" max="12297" width="28" style="463" customWidth="1"/>
    <col min="12298" max="12298" width="19.28515625" style="463" customWidth="1"/>
    <col min="12299" max="12544" width="9.140625" style="463"/>
    <col min="12545" max="12545" width="5" style="463" customWidth="1"/>
    <col min="12546" max="12546" width="58" style="463" customWidth="1"/>
    <col min="12547" max="12547" width="26.85546875" style="463" customWidth="1"/>
    <col min="12548" max="12548" width="26.28515625" style="463" customWidth="1"/>
    <col min="12549" max="12549" width="26.42578125" style="463" customWidth="1"/>
    <col min="12550" max="12550" width="27.7109375" style="463" customWidth="1"/>
    <col min="12551" max="12551" width="25.140625" style="463" customWidth="1"/>
    <col min="12552" max="12552" width="25.7109375" style="463" customWidth="1"/>
    <col min="12553" max="12553" width="28" style="463" customWidth="1"/>
    <col min="12554" max="12554" width="19.28515625" style="463" customWidth="1"/>
    <col min="12555" max="12800" width="9.140625" style="463"/>
    <col min="12801" max="12801" width="5" style="463" customWidth="1"/>
    <col min="12802" max="12802" width="58" style="463" customWidth="1"/>
    <col min="12803" max="12803" width="26.85546875" style="463" customWidth="1"/>
    <col min="12804" max="12804" width="26.28515625" style="463" customWidth="1"/>
    <col min="12805" max="12805" width="26.42578125" style="463" customWidth="1"/>
    <col min="12806" max="12806" width="27.7109375" style="463" customWidth="1"/>
    <col min="12807" max="12807" width="25.140625" style="463" customWidth="1"/>
    <col min="12808" max="12808" width="25.7109375" style="463" customWidth="1"/>
    <col min="12809" max="12809" width="28" style="463" customWidth="1"/>
    <col min="12810" max="12810" width="19.28515625" style="463" customWidth="1"/>
    <col min="12811" max="13056" width="9.140625" style="463"/>
    <col min="13057" max="13057" width="5" style="463" customWidth="1"/>
    <col min="13058" max="13058" width="58" style="463" customWidth="1"/>
    <col min="13059" max="13059" width="26.85546875" style="463" customWidth="1"/>
    <col min="13060" max="13060" width="26.28515625" style="463" customWidth="1"/>
    <col min="13061" max="13061" width="26.42578125" style="463" customWidth="1"/>
    <col min="13062" max="13062" width="27.7109375" style="463" customWidth="1"/>
    <col min="13063" max="13063" width="25.140625" style="463" customWidth="1"/>
    <col min="13064" max="13064" width="25.7109375" style="463" customWidth="1"/>
    <col min="13065" max="13065" width="28" style="463" customWidth="1"/>
    <col min="13066" max="13066" width="19.28515625" style="463" customWidth="1"/>
    <col min="13067" max="13312" width="9.140625" style="463"/>
    <col min="13313" max="13313" width="5" style="463" customWidth="1"/>
    <col min="13314" max="13314" width="58" style="463" customWidth="1"/>
    <col min="13315" max="13315" width="26.85546875" style="463" customWidth="1"/>
    <col min="13316" max="13316" width="26.28515625" style="463" customWidth="1"/>
    <col min="13317" max="13317" width="26.42578125" style="463" customWidth="1"/>
    <col min="13318" max="13318" width="27.7109375" style="463" customWidth="1"/>
    <col min="13319" max="13319" width="25.140625" style="463" customWidth="1"/>
    <col min="13320" max="13320" width="25.7109375" style="463" customWidth="1"/>
    <col min="13321" max="13321" width="28" style="463" customWidth="1"/>
    <col min="13322" max="13322" width="19.28515625" style="463" customWidth="1"/>
    <col min="13323" max="13568" width="9.140625" style="463"/>
    <col min="13569" max="13569" width="5" style="463" customWidth="1"/>
    <col min="13570" max="13570" width="58" style="463" customWidth="1"/>
    <col min="13571" max="13571" width="26.85546875" style="463" customWidth="1"/>
    <col min="13572" max="13572" width="26.28515625" style="463" customWidth="1"/>
    <col min="13573" max="13573" width="26.42578125" style="463" customWidth="1"/>
    <col min="13574" max="13574" width="27.7109375" style="463" customWidth="1"/>
    <col min="13575" max="13575" width="25.140625" style="463" customWidth="1"/>
    <col min="13576" max="13576" width="25.7109375" style="463" customWidth="1"/>
    <col min="13577" max="13577" width="28" style="463" customWidth="1"/>
    <col min="13578" max="13578" width="19.28515625" style="463" customWidth="1"/>
    <col min="13579" max="13824" width="9.140625" style="463"/>
    <col min="13825" max="13825" width="5" style="463" customWidth="1"/>
    <col min="13826" max="13826" width="58" style="463" customWidth="1"/>
    <col min="13827" max="13827" width="26.85546875" style="463" customWidth="1"/>
    <col min="13828" max="13828" width="26.28515625" style="463" customWidth="1"/>
    <col min="13829" max="13829" width="26.42578125" style="463" customWidth="1"/>
    <col min="13830" max="13830" width="27.7109375" style="463" customWidth="1"/>
    <col min="13831" max="13831" width="25.140625" style="463" customWidth="1"/>
    <col min="13832" max="13832" width="25.7109375" style="463" customWidth="1"/>
    <col min="13833" max="13833" width="28" style="463" customWidth="1"/>
    <col min="13834" max="13834" width="19.28515625" style="463" customWidth="1"/>
    <col min="13835" max="14080" width="9.140625" style="463"/>
    <col min="14081" max="14081" width="5" style="463" customWidth="1"/>
    <col min="14082" max="14082" width="58" style="463" customWidth="1"/>
    <col min="14083" max="14083" width="26.85546875" style="463" customWidth="1"/>
    <col min="14084" max="14084" width="26.28515625" style="463" customWidth="1"/>
    <col min="14085" max="14085" width="26.42578125" style="463" customWidth="1"/>
    <col min="14086" max="14086" width="27.7109375" style="463" customWidth="1"/>
    <col min="14087" max="14087" width="25.140625" style="463" customWidth="1"/>
    <col min="14088" max="14088" width="25.7109375" style="463" customWidth="1"/>
    <col min="14089" max="14089" width="28" style="463" customWidth="1"/>
    <col min="14090" max="14090" width="19.28515625" style="463" customWidth="1"/>
    <col min="14091" max="14336" width="9.140625" style="463"/>
    <col min="14337" max="14337" width="5" style="463" customWidth="1"/>
    <col min="14338" max="14338" width="58" style="463" customWidth="1"/>
    <col min="14339" max="14339" width="26.85546875" style="463" customWidth="1"/>
    <col min="14340" max="14340" width="26.28515625" style="463" customWidth="1"/>
    <col min="14341" max="14341" width="26.42578125" style="463" customWidth="1"/>
    <col min="14342" max="14342" width="27.7109375" style="463" customWidth="1"/>
    <col min="14343" max="14343" width="25.140625" style="463" customWidth="1"/>
    <col min="14344" max="14344" width="25.7109375" style="463" customWidth="1"/>
    <col min="14345" max="14345" width="28" style="463" customWidth="1"/>
    <col min="14346" max="14346" width="19.28515625" style="463" customWidth="1"/>
    <col min="14347" max="14592" width="9.140625" style="463"/>
    <col min="14593" max="14593" width="5" style="463" customWidth="1"/>
    <col min="14594" max="14594" width="58" style="463" customWidth="1"/>
    <col min="14595" max="14595" width="26.85546875" style="463" customWidth="1"/>
    <col min="14596" max="14596" width="26.28515625" style="463" customWidth="1"/>
    <col min="14597" max="14597" width="26.42578125" style="463" customWidth="1"/>
    <col min="14598" max="14598" width="27.7109375" style="463" customWidth="1"/>
    <col min="14599" max="14599" width="25.140625" style="463" customWidth="1"/>
    <col min="14600" max="14600" width="25.7109375" style="463" customWidth="1"/>
    <col min="14601" max="14601" width="28" style="463" customWidth="1"/>
    <col min="14602" max="14602" width="19.28515625" style="463" customWidth="1"/>
    <col min="14603" max="14848" width="9.140625" style="463"/>
    <col min="14849" max="14849" width="5" style="463" customWidth="1"/>
    <col min="14850" max="14850" width="58" style="463" customWidth="1"/>
    <col min="14851" max="14851" width="26.85546875" style="463" customWidth="1"/>
    <col min="14852" max="14852" width="26.28515625" style="463" customWidth="1"/>
    <col min="14853" max="14853" width="26.42578125" style="463" customWidth="1"/>
    <col min="14854" max="14854" width="27.7109375" style="463" customWidth="1"/>
    <col min="14855" max="14855" width="25.140625" style="463" customWidth="1"/>
    <col min="14856" max="14856" width="25.7109375" style="463" customWidth="1"/>
    <col min="14857" max="14857" width="28" style="463" customWidth="1"/>
    <col min="14858" max="14858" width="19.28515625" style="463" customWidth="1"/>
    <col min="14859" max="15104" width="9.140625" style="463"/>
    <col min="15105" max="15105" width="5" style="463" customWidth="1"/>
    <col min="15106" max="15106" width="58" style="463" customWidth="1"/>
    <col min="15107" max="15107" width="26.85546875" style="463" customWidth="1"/>
    <col min="15108" max="15108" width="26.28515625" style="463" customWidth="1"/>
    <col min="15109" max="15109" width="26.42578125" style="463" customWidth="1"/>
    <col min="15110" max="15110" width="27.7109375" style="463" customWidth="1"/>
    <col min="15111" max="15111" width="25.140625" style="463" customWidth="1"/>
    <col min="15112" max="15112" width="25.7109375" style="463" customWidth="1"/>
    <col min="15113" max="15113" width="28" style="463" customWidth="1"/>
    <col min="15114" max="15114" width="19.28515625" style="463" customWidth="1"/>
    <col min="15115" max="15360" width="9.140625" style="463"/>
    <col min="15361" max="15361" width="5" style="463" customWidth="1"/>
    <col min="15362" max="15362" width="58" style="463" customWidth="1"/>
    <col min="15363" max="15363" width="26.85546875" style="463" customWidth="1"/>
    <col min="15364" max="15364" width="26.28515625" style="463" customWidth="1"/>
    <col min="15365" max="15365" width="26.42578125" style="463" customWidth="1"/>
    <col min="15366" max="15366" width="27.7109375" style="463" customWidth="1"/>
    <col min="15367" max="15367" width="25.140625" style="463" customWidth="1"/>
    <col min="15368" max="15368" width="25.7109375" style="463" customWidth="1"/>
    <col min="15369" max="15369" width="28" style="463" customWidth="1"/>
    <col min="15370" max="15370" width="19.28515625" style="463" customWidth="1"/>
    <col min="15371" max="15616" width="9.140625" style="463"/>
    <col min="15617" max="15617" width="5" style="463" customWidth="1"/>
    <col min="15618" max="15618" width="58" style="463" customWidth="1"/>
    <col min="15619" max="15619" width="26.85546875" style="463" customWidth="1"/>
    <col min="15620" max="15620" width="26.28515625" style="463" customWidth="1"/>
    <col min="15621" max="15621" width="26.42578125" style="463" customWidth="1"/>
    <col min="15622" max="15622" width="27.7109375" style="463" customWidth="1"/>
    <col min="15623" max="15623" width="25.140625" style="463" customWidth="1"/>
    <col min="15624" max="15624" width="25.7109375" style="463" customWidth="1"/>
    <col min="15625" max="15625" width="28" style="463" customWidth="1"/>
    <col min="15626" max="15626" width="19.28515625" style="463" customWidth="1"/>
    <col min="15627" max="15872" width="9.140625" style="463"/>
    <col min="15873" max="15873" width="5" style="463" customWidth="1"/>
    <col min="15874" max="15874" width="58" style="463" customWidth="1"/>
    <col min="15875" max="15875" width="26.85546875" style="463" customWidth="1"/>
    <col min="15876" max="15876" width="26.28515625" style="463" customWidth="1"/>
    <col min="15877" max="15877" width="26.42578125" style="463" customWidth="1"/>
    <col min="15878" max="15878" width="27.7109375" style="463" customWidth="1"/>
    <col min="15879" max="15879" width="25.140625" style="463" customWidth="1"/>
    <col min="15880" max="15880" width="25.7109375" style="463" customWidth="1"/>
    <col min="15881" max="15881" width="28" style="463" customWidth="1"/>
    <col min="15882" max="15882" width="19.28515625" style="463" customWidth="1"/>
    <col min="15883" max="16128" width="9.140625" style="463"/>
    <col min="16129" max="16129" width="5" style="463" customWidth="1"/>
    <col min="16130" max="16130" width="58" style="463" customWidth="1"/>
    <col min="16131" max="16131" width="26.85546875" style="463" customWidth="1"/>
    <col min="16132" max="16132" width="26.28515625" style="463" customWidth="1"/>
    <col min="16133" max="16133" width="26.42578125" style="463" customWidth="1"/>
    <col min="16134" max="16134" width="27.7109375" style="463" customWidth="1"/>
    <col min="16135" max="16135" width="25.140625" style="463" customWidth="1"/>
    <col min="16136" max="16136" width="25.7109375" style="463" customWidth="1"/>
    <col min="16137" max="16137" width="28" style="463" customWidth="1"/>
    <col min="16138" max="16138" width="19.28515625" style="463" customWidth="1"/>
    <col min="16139" max="16384" width="9.140625" style="463"/>
  </cols>
  <sheetData>
    <row r="1" spans="1:14">
      <c r="H1" s="465"/>
      <c r="K1" s="462"/>
      <c r="L1" s="462"/>
      <c r="M1" s="462"/>
      <c r="N1" s="462"/>
    </row>
    <row r="2" spans="1:14" ht="21">
      <c r="A2" s="1995" t="s">
        <v>928</v>
      </c>
      <c r="B2" s="1995"/>
      <c r="C2" s="1995"/>
      <c r="D2" s="1995"/>
      <c r="E2" s="1995"/>
      <c r="F2" s="1995"/>
      <c r="G2" s="1995"/>
      <c r="H2" s="1995"/>
      <c r="I2" s="1995"/>
      <c r="J2" s="595"/>
      <c r="K2" s="596"/>
      <c r="L2" s="596"/>
      <c r="M2" s="596"/>
      <c r="N2" s="596"/>
    </row>
    <row r="3" spans="1:14" ht="21">
      <c r="A3" s="1995" t="s">
        <v>929</v>
      </c>
      <c r="B3" s="1995"/>
      <c r="C3" s="1995"/>
      <c r="D3" s="1995"/>
      <c r="E3" s="1995"/>
      <c r="F3" s="1995"/>
      <c r="G3" s="1995"/>
      <c r="H3" s="1995"/>
      <c r="I3" s="1995"/>
      <c r="J3" s="595"/>
      <c r="K3" s="596"/>
      <c r="L3" s="596"/>
      <c r="M3" s="596"/>
      <c r="N3" s="596"/>
    </row>
    <row r="4" spans="1:14" ht="21">
      <c r="A4" s="1995" t="s">
        <v>768</v>
      </c>
      <c r="B4" s="1995"/>
      <c r="C4" s="1995"/>
      <c r="D4" s="1995"/>
      <c r="E4" s="1995"/>
      <c r="F4" s="1995"/>
      <c r="G4" s="1995"/>
      <c r="H4" s="1995"/>
      <c r="I4" s="1995"/>
      <c r="J4" s="595"/>
      <c r="K4" s="597"/>
      <c r="L4" s="596"/>
      <c r="M4" s="596"/>
      <c r="N4" s="596"/>
    </row>
    <row r="5" spans="1:14">
      <c r="A5" s="466"/>
      <c r="B5" s="466"/>
      <c r="C5" s="466"/>
      <c r="D5" s="466"/>
      <c r="E5" s="466"/>
      <c r="F5" s="466"/>
      <c r="G5" s="466"/>
      <c r="H5" s="466"/>
      <c r="I5" s="459" t="s">
        <v>3</v>
      </c>
      <c r="J5" s="466"/>
      <c r="K5" s="596"/>
      <c r="L5" s="596"/>
      <c r="M5" s="596"/>
      <c r="N5" s="596"/>
    </row>
    <row r="6" spans="1:14">
      <c r="A6" s="2006" t="s">
        <v>4</v>
      </c>
      <c r="B6" s="2008" t="s">
        <v>930</v>
      </c>
      <c r="C6" s="2002" t="s">
        <v>931</v>
      </c>
      <c r="D6" s="2032" t="s">
        <v>932</v>
      </c>
      <c r="E6" s="2002" t="s">
        <v>933</v>
      </c>
      <c r="F6" s="2046" t="s">
        <v>934</v>
      </c>
      <c r="G6" s="2047"/>
      <c r="H6" s="2038" t="s">
        <v>935</v>
      </c>
      <c r="I6" s="2040" t="s">
        <v>925</v>
      </c>
    </row>
    <row r="7" spans="1:14">
      <c r="A7" s="2007"/>
      <c r="B7" s="2005"/>
      <c r="C7" s="2003"/>
      <c r="D7" s="2033"/>
      <c r="E7" s="2003"/>
      <c r="F7" s="2048"/>
      <c r="G7" s="2049"/>
      <c r="H7" s="2039"/>
      <c r="I7" s="2041"/>
    </row>
    <row r="8" spans="1:14" ht="16.5">
      <c r="A8" s="471" t="s">
        <v>936</v>
      </c>
      <c r="B8" s="472"/>
      <c r="C8" s="473"/>
      <c r="D8" s="474"/>
      <c r="E8" s="473"/>
      <c r="F8" s="475"/>
      <c r="G8" s="475"/>
      <c r="H8" s="476"/>
      <c r="I8" s="598"/>
    </row>
    <row r="9" spans="1:14" ht="16.5">
      <c r="A9" s="477"/>
      <c r="B9" s="478"/>
      <c r="C9" s="479"/>
      <c r="D9" s="480"/>
      <c r="E9" s="479"/>
      <c r="F9" s="479"/>
      <c r="G9" s="479"/>
      <c r="H9" s="479"/>
      <c r="I9" s="599"/>
    </row>
    <row r="10" spans="1:14" ht="16.5">
      <c r="A10" s="481"/>
      <c r="B10" s="482"/>
      <c r="C10" s="483"/>
      <c r="D10" s="484"/>
      <c r="E10" s="485"/>
      <c r="F10" s="479"/>
      <c r="G10" s="486"/>
      <c r="H10" s="487"/>
      <c r="I10" s="600"/>
    </row>
    <row r="11" spans="1:14" ht="16.5">
      <c r="A11" s="481"/>
      <c r="B11" s="488"/>
      <c r="C11" s="479"/>
      <c r="D11" s="484"/>
      <c r="E11" s="485"/>
      <c r="F11" s="479"/>
      <c r="G11" s="486"/>
      <c r="H11" s="487"/>
      <c r="I11" s="601"/>
    </row>
    <row r="12" spans="1:14" ht="16.5">
      <c r="A12" s="489"/>
      <c r="B12" s="490"/>
      <c r="C12" s="491"/>
      <c r="D12" s="492"/>
      <c r="E12" s="491"/>
      <c r="F12" s="491"/>
      <c r="G12" s="490"/>
      <c r="H12" s="493"/>
      <c r="I12" s="602"/>
    </row>
    <row r="13" spans="1:14" ht="16.5">
      <c r="A13" s="471" t="s">
        <v>937</v>
      </c>
      <c r="B13" s="472"/>
      <c r="C13" s="473"/>
      <c r="D13" s="474"/>
      <c r="E13" s="473"/>
      <c r="F13" s="475"/>
      <c r="G13" s="475"/>
      <c r="H13" s="476"/>
      <c r="I13" s="598"/>
    </row>
    <row r="14" spans="1:14" ht="16.5">
      <c r="A14" s="477"/>
      <c r="B14" s="478"/>
      <c r="C14" s="479"/>
      <c r="D14" s="480"/>
      <c r="E14" s="479"/>
      <c r="F14" s="479"/>
      <c r="G14" s="479"/>
      <c r="H14" s="479"/>
      <c r="I14" s="599"/>
    </row>
    <row r="15" spans="1:14" ht="16.5">
      <c r="A15" s="481"/>
      <c r="B15" s="494"/>
      <c r="C15" s="495"/>
      <c r="D15" s="496"/>
      <c r="E15" s="485"/>
      <c r="F15" s="479"/>
      <c r="G15" s="486"/>
      <c r="H15" s="487"/>
      <c r="I15" s="600"/>
    </row>
    <row r="16" spans="1:14" ht="16.5">
      <c r="A16" s="481"/>
      <c r="B16" s="482"/>
      <c r="C16" s="483"/>
      <c r="D16" s="484"/>
      <c r="E16" s="497"/>
      <c r="F16" s="479"/>
      <c r="G16" s="486"/>
      <c r="H16" s="487"/>
      <c r="I16" s="600"/>
    </row>
    <row r="17" spans="1:10" ht="16.5">
      <c r="A17" s="481"/>
      <c r="B17" s="488"/>
      <c r="C17" s="479"/>
      <c r="D17" s="484"/>
      <c r="E17" s="497"/>
      <c r="F17" s="479"/>
      <c r="G17" s="486"/>
      <c r="H17" s="487"/>
      <c r="I17" s="601"/>
    </row>
    <row r="18" spans="1:10" ht="16.5">
      <c r="A18" s="467"/>
      <c r="B18" s="498"/>
      <c r="C18" s="499"/>
      <c r="D18" s="500"/>
      <c r="E18" s="499"/>
      <c r="F18" s="499"/>
      <c r="G18" s="501"/>
      <c r="H18" s="502"/>
      <c r="I18" s="603"/>
    </row>
    <row r="19" spans="1:10" ht="34.5">
      <c r="A19" s="503" t="s">
        <v>938</v>
      </c>
      <c r="B19" s="504" t="s">
        <v>939</v>
      </c>
      <c r="C19" s="505">
        <v>0</v>
      </c>
      <c r="D19" s="505">
        <v>0</v>
      </c>
      <c r="E19" s="505">
        <v>0</v>
      </c>
      <c r="F19" s="505">
        <v>0</v>
      </c>
      <c r="G19" s="505">
        <v>0</v>
      </c>
      <c r="H19" s="505">
        <v>0</v>
      </c>
      <c r="I19" s="604"/>
    </row>
    <row r="20" spans="1:10" ht="17.25">
      <c r="A20" s="506"/>
      <c r="B20" s="507"/>
      <c r="C20" s="508"/>
      <c r="D20" s="508"/>
      <c r="E20" s="508"/>
      <c r="F20" s="508"/>
      <c r="G20" s="508"/>
      <c r="H20" s="508"/>
      <c r="I20" s="605"/>
    </row>
    <row r="21" spans="1:10" ht="17.25">
      <c r="A21" s="509" t="s">
        <v>940</v>
      </c>
      <c r="B21" s="510" t="s">
        <v>941</v>
      </c>
      <c r="C21" s="511">
        <f>SUM(C22:C24)</f>
        <v>2204095707.1599998</v>
      </c>
      <c r="D21" s="511"/>
      <c r="E21" s="511">
        <f>SUM(E22:E24)</f>
        <v>1895289529.1600001</v>
      </c>
      <c r="F21" s="511">
        <f>SUM(F22:F24)</f>
        <v>1895289529.1600001</v>
      </c>
      <c r="G21" s="511">
        <f>SUM(G22:G24)</f>
        <v>0</v>
      </c>
      <c r="H21" s="511">
        <f>SUM(H22:H24)</f>
        <v>308806178</v>
      </c>
      <c r="I21" s="606">
        <f>SUM(I22:I24)</f>
        <v>0</v>
      </c>
    </row>
    <row r="22" spans="1:10" ht="17.25">
      <c r="A22" s="512"/>
      <c r="B22" s="513" t="s">
        <v>942</v>
      </c>
      <c r="C22" s="514">
        <v>1506477090.4300001</v>
      </c>
      <c r="D22" s="515">
        <f>D19</f>
        <v>0</v>
      </c>
      <c r="E22" s="515">
        <f>+F22</f>
        <v>1506477090.4300001</v>
      </c>
      <c r="F22" s="514">
        <v>1506477090.4300001</v>
      </c>
      <c r="G22" s="515"/>
      <c r="H22" s="515">
        <f>+C22-E22</f>
        <v>0</v>
      </c>
      <c r="I22" s="607"/>
    </row>
    <row r="23" spans="1:10" ht="17.25">
      <c r="A23" s="512"/>
      <c r="B23" s="513" t="s">
        <v>943</v>
      </c>
      <c r="C23" s="514">
        <v>697618616.73000002</v>
      </c>
      <c r="D23" s="515">
        <f>D21</f>
        <v>0</v>
      </c>
      <c r="E23" s="515">
        <f>+F23</f>
        <v>388812438.73000002</v>
      </c>
      <c r="F23" s="515">
        <v>388812438.73000002</v>
      </c>
      <c r="G23" s="516"/>
      <c r="H23" s="515">
        <f>+C23-E23</f>
        <v>308806178</v>
      </c>
      <c r="I23" s="608"/>
    </row>
    <row r="24" spans="1:10" ht="17.25">
      <c r="A24" s="517"/>
      <c r="B24" s="513" t="s">
        <v>944</v>
      </c>
      <c r="C24" s="514">
        <v>0</v>
      </c>
      <c r="D24" s="515">
        <f>D22</f>
        <v>0</v>
      </c>
      <c r="E24" s="515">
        <f>+F24</f>
        <v>0</v>
      </c>
      <c r="F24" s="515">
        <v>0</v>
      </c>
      <c r="G24" s="515"/>
      <c r="H24" s="515">
        <f>+C24-E24</f>
        <v>0</v>
      </c>
      <c r="I24" s="607"/>
    </row>
    <row r="25" spans="1:10" ht="17.25">
      <c r="A25" s="518"/>
      <c r="B25" s="507"/>
      <c r="C25" s="508"/>
      <c r="D25" s="508"/>
      <c r="E25" s="508"/>
      <c r="F25" s="508"/>
      <c r="G25" s="508"/>
      <c r="H25" s="508"/>
      <c r="I25" s="605"/>
    </row>
    <row r="26" spans="1:10" ht="34.5">
      <c r="A26" s="509" t="s">
        <v>945</v>
      </c>
      <c r="B26" s="510" t="s">
        <v>946</v>
      </c>
      <c r="C26" s="511">
        <f>+C19+C21</f>
        <v>2204095707.1599998</v>
      </c>
      <c r="D26" s="511"/>
      <c r="E26" s="511">
        <f>+E19+E21</f>
        <v>1895289529.1600001</v>
      </c>
      <c r="F26" s="511">
        <f>+F19+F21</f>
        <v>1895289529.1600001</v>
      </c>
      <c r="G26" s="511">
        <f>+G19+G21</f>
        <v>0</v>
      </c>
      <c r="H26" s="511">
        <f>+H19+H21</f>
        <v>308806178</v>
      </c>
      <c r="I26" s="606">
        <f>SUM(I27:I27)</f>
        <v>0</v>
      </c>
    </row>
    <row r="27" spans="1:10" ht="16.5">
      <c r="A27" s="519"/>
      <c r="B27" s="520"/>
      <c r="C27" s="521"/>
      <c r="D27" s="522"/>
      <c r="E27" s="521"/>
      <c r="F27" s="521"/>
      <c r="G27" s="523"/>
      <c r="H27" s="524"/>
      <c r="I27" s="609"/>
    </row>
    <row r="28" spans="1:10" ht="51.75">
      <c r="A28" s="525"/>
      <c r="B28" s="526" t="s">
        <v>947</v>
      </c>
      <c r="C28" s="527"/>
      <c r="D28" s="528"/>
      <c r="E28" s="529">
        <f>11206000+15000000</f>
        <v>26206000</v>
      </c>
      <c r="F28" s="528"/>
      <c r="G28" s="528"/>
      <c r="H28" s="530">
        <f>+C26-E26-E28</f>
        <v>282600178</v>
      </c>
      <c r="I28" s="610" t="s">
        <v>948</v>
      </c>
    </row>
    <row r="31" spans="1:10" ht="15.6" customHeight="1"/>
    <row r="32" spans="1:10" ht="21">
      <c r="A32" s="1996" t="s">
        <v>949</v>
      </c>
      <c r="B32" s="1996"/>
      <c r="C32" s="1996"/>
      <c r="D32" s="1996"/>
      <c r="E32" s="1996"/>
      <c r="F32" s="1996"/>
      <c r="G32" s="1996"/>
      <c r="H32" s="1996"/>
      <c r="I32" s="1996"/>
      <c r="J32" s="1996"/>
    </row>
    <row r="33" spans="1:10" ht="21">
      <c r="A33" s="1996" t="s">
        <v>950</v>
      </c>
      <c r="B33" s="1996"/>
      <c r="C33" s="1996"/>
      <c r="D33" s="1996"/>
      <c r="E33" s="1996"/>
      <c r="F33" s="1996"/>
      <c r="G33" s="1996"/>
      <c r="H33" s="1996"/>
      <c r="I33" s="1996"/>
      <c r="J33" s="1996"/>
    </row>
    <row r="34" spans="1:10" ht="16.5">
      <c r="A34" s="531"/>
      <c r="B34" s="531"/>
      <c r="C34" s="531"/>
      <c r="D34" s="532"/>
      <c r="E34" s="533"/>
      <c r="F34" s="532"/>
      <c r="G34" s="532"/>
      <c r="H34" s="531"/>
      <c r="I34" s="611"/>
      <c r="J34" s="531"/>
    </row>
    <row r="35" spans="1:10" ht="15.6" customHeight="1">
      <c r="A35" s="2006" t="s">
        <v>4</v>
      </c>
      <c r="B35" s="2008" t="s">
        <v>930</v>
      </c>
      <c r="C35" s="2004" t="s">
        <v>951</v>
      </c>
      <c r="D35" s="2002" t="s">
        <v>931</v>
      </c>
      <c r="E35" s="2032" t="s">
        <v>932</v>
      </c>
      <c r="F35" s="2002" t="s">
        <v>952</v>
      </c>
      <c r="G35" s="2046" t="s">
        <v>953</v>
      </c>
      <c r="H35" s="2047"/>
      <c r="I35" s="2038" t="s">
        <v>954</v>
      </c>
      <c r="J35" s="2040" t="s">
        <v>925</v>
      </c>
    </row>
    <row r="36" spans="1:10">
      <c r="A36" s="2007"/>
      <c r="B36" s="2005"/>
      <c r="C36" s="2005"/>
      <c r="D36" s="2003"/>
      <c r="E36" s="2033"/>
      <c r="F36" s="2003"/>
      <c r="G36" s="2048"/>
      <c r="H36" s="2049"/>
      <c r="I36" s="2039"/>
      <c r="J36" s="2041"/>
    </row>
    <row r="37" spans="1:10" ht="16.5">
      <c r="A37" s="534" t="s">
        <v>955</v>
      </c>
      <c r="B37" s="535"/>
      <c r="C37" s="472"/>
      <c r="D37" s="473"/>
      <c r="E37" s="474"/>
      <c r="F37" s="473"/>
      <c r="G37" s="475"/>
      <c r="H37" s="475"/>
      <c r="I37" s="476"/>
      <c r="J37" s="598"/>
    </row>
    <row r="38" spans="1:10" ht="31.5">
      <c r="A38" s="536" t="s">
        <v>25</v>
      </c>
      <c r="B38" s="537" t="s">
        <v>160</v>
      </c>
      <c r="C38" s="538" t="s">
        <v>956</v>
      </c>
      <c r="D38" s="539">
        <f>SUM(D39:D41)</f>
        <v>11043595</v>
      </c>
      <c r="E38" s="539"/>
      <c r="F38" s="539">
        <f>SUM(F39:F41)</f>
        <v>11043595</v>
      </c>
      <c r="G38" s="539">
        <f>SUM(G39:G41)</f>
        <v>11043595</v>
      </c>
      <c r="H38" s="539"/>
      <c r="I38" s="539">
        <f>SUM(I39:I41)</f>
        <v>0</v>
      </c>
      <c r="J38" s="612" t="s">
        <v>957</v>
      </c>
    </row>
    <row r="39" spans="1:10" ht="16.5">
      <c r="A39" s="540">
        <v>1</v>
      </c>
      <c r="B39" s="1999" t="s">
        <v>958</v>
      </c>
      <c r="C39" s="542" t="s">
        <v>959</v>
      </c>
      <c r="D39" s="543">
        <v>11043595</v>
      </c>
      <c r="E39" s="544"/>
      <c r="F39" s="545">
        <f>SUM(G39:G41)</f>
        <v>11043595</v>
      </c>
      <c r="G39" s="546">
        <v>5565602</v>
      </c>
      <c r="H39" s="547">
        <v>43280</v>
      </c>
      <c r="I39" s="613">
        <f>+D39-F39</f>
        <v>0</v>
      </c>
      <c r="J39" s="614" t="s">
        <v>914</v>
      </c>
    </row>
    <row r="40" spans="1:10" ht="16.5">
      <c r="A40" s="548"/>
      <c r="B40" s="2000"/>
      <c r="C40" s="550"/>
      <c r="D40" s="551"/>
      <c r="E40" s="552"/>
      <c r="F40" s="553"/>
      <c r="G40" s="546">
        <v>3059119</v>
      </c>
      <c r="H40" s="547" t="s">
        <v>960</v>
      </c>
      <c r="I40" s="550"/>
      <c r="J40" s="615"/>
    </row>
    <row r="41" spans="1:10" ht="16.5">
      <c r="A41" s="467"/>
      <c r="B41" s="549"/>
      <c r="C41" s="550"/>
      <c r="D41" s="553"/>
      <c r="E41" s="554"/>
      <c r="F41" s="469"/>
      <c r="G41" s="546">
        <v>2418874</v>
      </c>
      <c r="H41" s="547" t="s">
        <v>960</v>
      </c>
      <c r="I41" s="470"/>
      <c r="J41" s="616"/>
    </row>
    <row r="42" spans="1:10" ht="16.5">
      <c r="A42" s="555"/>
      <c r="B42" s="556"/>
      <c r="C42" s="556"/>
      <c r="D42" s="557"/>
      <c r="E42" s="558"/>
      <c r="F42" s="559"/>
      <c r="G42" s="559"/>
      <c r="H42" s="560"/>
      <c r="I42" s="617"/>
      <c r="J42" s="618"/>
    </row>
    <row r="43" spans="1:10" ht="31.5">
      <c r="A43" s="536" t="s">
        <v>37</v>
      </c>
      <c r="B43" s="537" t="s">
        <v>961</v>
      </c>
      <c r="C43" s="538" t="s">
        <v>962</v>
      </c>
      <c r="D43" s="539">
        <f>SUM(D44:D44)</f>
        <v>3625691.73</v>
      </c>
      <c r="E43" s="539">
        <f>SUM(E44:E44)</f>
        <v>0</v>
      </c>
      <c r="F43" s="539">
        <f>SUM(F44:F44)</f>
        <v>3625691.73</v>
      </c>
      <c r="G43" s="539">
        <f>SUM(G44:G44)</f>
        <v>3625691.73</v>
      </c>
      <c r="H43" s="539"/>
      <c r="I43" s="539">
        <f>SUM(I44:I44)</f>
        <v>0</v>
      </c>
      <c r="J43" s="619" t="s">
        <v>963</v>
      </c>
    </row>
    <row r="44" spans="1:10" ht="47.25">
      <c r="A44" s="561">
        <v>2</v>
      </c>
      <c r="B44" s="562" t="s">
        <v>964</v>
      </c>
      <c r="C44" s="563"/>
      <c r="D44" s="564">
        <v>3625691.73</v>
      </c>
      <c r="E44" s="554"/>
      <c r="F44" s="564">
        <f>+G44</f>
        <v>3625691.73</v>
      </c>
      <c r="G44" s="546">
        <v>3625691.73</v>
      </c>
      <c r="H44" s="547">
        <v>43314</v>
      </c>
      <c r="I44" s="620">
        <f>+D44-F44</f>
        <v>0</v>
      </c>
      <c r="J44" s="616" t="s">
        <v>914</v>
      </c>
    </row>
    <row r="45" spans="1:10" ht="16.5">
      <c r="A45" s="555"/>
      <c r="B45" s="556"/>
      <c r="C45" s="556"/>
      <c r="D45" s="557"/>
      <c r="E45" s="558"/>
      <c r="F45" s="559"/>
      <c r="G45" s="559"/>
      <c r="H45" s="560"/>
      <c r="I45" s="617"/>
      <c r="J45" s="618"/>
    </row>
    <row r="46" spans="1:10" ht="47.25">
      <c r="A46" s="536" t="s">
        <v>60</v>
      </c>
      <c r="B46" s="537" t="s">
        <v>965</v>
      </c>
      <c r="C46" s="538" t="s">
        <v>966</v>
      </c>
      <c r="D46" s="539">
        <f>SUM(D47:D65)</f>
        <v>112775513</v>
      </c>
      <c r="E46" s="539"/>
      <c r="F46" s="539">
        <f>SUM(F47:F65)</f>
        <v>97825513</v>
      </c>
      <c r="G46" s="539">
        <f>SUM(G47:G65)</f>
        <v>97825513</v>
      </c>
      <c r="H46" s="539">
        <f>SUM(H47:H65)</f>
        <v>779544</v>
      </c>
      <c r="I46" s="539">
        <f>SUM(I47:I65)</f>
        <v>19250000</v>
      </c>
      <c r="J46" s="619" t="s">
        <v>963</v>
      </c>
    </row>
    <row r="47" spans="1:10" ht="31.5">
      <c r="A47" s="540">
        <v>3</v>
      </c>
      <c r="B47" s="565" t="s">
        <v>967</v>
      </c>
      <c r="C47" s="566" t="s">
        <v>968</v>
      </c>
      <c r="D47" s="543">
        <v>8382863</v>
      </c>
      <c r="E47" s="543"/>
      <c r="F47" s="543">
        <f>SUM(G47:G49)</f>
        <v>8382863</v>
      </c>
      <c r="G47" s="567">
        <v>2337405</v>
      </c>
      <c r="H47" s="547">
        <v>43308</v>
      </c>
      <c r="I47" s="543">
        <f>+D47-F47</f>
        <v>0</v>
      </c>
      <c r="J47" s="621" t="s">
        <v>914</v>
      </c>
    </row>
    <row r="48" spans="1:10">
      <c r="A48" s="548"/>
      <c r="B48" s="568"/>
      <c r="C48" s="569"/>
      <c r="D48" s="551"/>
      <c r="E48" s="551"/>
      <c r="F48" s="551"/>
      <c r="G48" s="567">
        <v>3930458</v>
      </c>
      <c r="H48" s="547">
        <v>43308</v>
      </c>
      <c r="I48" s="551"/>
      <c r="J48" s="622"/>
    </row>
    <row r="49" spans="1:10">
      <c r="A49" s="467"/>
      <c r="B49" s="562"/>
      <c r="C49" s="570"/>
      <c r="D49" s="571"/>
      <c r="E49" s="571"/>
      <c r="F49" s="571"/>
      <c r="G49" s="567">
        <v>2115000</v>
      </c>
      <c r="H49" s="547">
        <v>43308</v>
      </c>
      <c r="I49" s="571"/>
      <c r="J49" s="623"/>
    </row>
    <row r="50" spans="1:10" s="462" customFormat="1" ht="31.5">
      <c r="A50" s="572">
        <v>4</v>
      </c>
      <c r="B50" s="573" t="s">
        <v>969</v>
      </c>
      <c r="C50" s="574" t="s">
        <v>970</v>
      </c>
      <c r="D50" s="575">
        <v>44892650</v>
      </c>
      <c r="E50" s="576"/>
      <c r="F50" s="575">
        <f>SUM(G50:G55)</f>
        <v>49192650</v>
      </c>
      <c r="G50" s="577">
        <v>6474650</v>
      </c>
      <c r="H50" s="578">
        <v>43308</v>
      </c>
      <c r="I50" s="576">
        <f>+D50-F50+4300000</f>
        <v>0</v>
      </c>
      <c r="J50" s="624" t="s">
        <v>914</v>
      </c>
    </row>
    <row r="51" spans="1:10" s="462" customFormat="1" ht="16.5">
      <c r="A51" s="579"/>
      <c r="B51" s="580"/>
      <c r="C51" s="581"/>
      <c r="D51" s="582"/>
      <c r="E51" s="582"/>
      <c r="F51" s="582"/>
      <c r="G51" s="583">
        <v>4968000</v>
      </c>
      <c r="H51" s="578">
        <v>43308</v>
      </c>
      <c r="I51" s="582"/>
      <c r="J51" s="625"/>
    </row>
    <row r="52" spans="1:10" ht="15.6" customHeight="1" thickBot="1">
      <c r="A52" s="1942"/>
      <c r="B52" s="854"/>
      <c r="C52" s="1943"/>
      <c r="D52" s="1944"/>
      <c r="E52" s="1944"/>
      <c r="F52" s="1944"/>
      <c r="G52" s="1945">
        <v>1515700</v>
      </c>
      <c r="H52" s="1946">
        <v>43308</v>
      </c>
      <c r="I52" s="1944"/>
      <c r="J52" s="1947"/>
    </row>
    <row r="53" spans="1:10">
      <c r="A53" s="548"/>
      <c r="B53" s="568"/>
      <c r="C53" s="1938"/>
      <c r="D53" s="1939"/>
      <c r="E53" s="1939"/>
      <c r="F53" s="1939"/>
      <c r="G53" s="1940">
        <v>6650000</v>
      </c>
      <c r="H53" s="662">
        <v>43308</v>
      </c>
      <c r="I53" s="1939"/>
      <c r="J53" s="1941"/>
    </row>
    <row r="54" spans="1:10">
      <c r="A54" s="548"/>
      <c r="B54" s="568"/>
      <c r="C54" s="569"/>
      <c r="D54" s="551"/>
      <c r="E54" s="551"/>
      <c r="F54" s="551"/>
      <c r="G54" s="567">
        <v>18805000</v>
      </c>
      <c r="H54" s="547">
        <v>43308</v>
      </c>
      <c r="I54" s="551"/>
      <c r="J54" s="622"/>
    </row>
    <row r="55" spans="1:10" ht="15.6" customHeight="1">
      <c r="A55" s="467"/>
      <c r="B55" s="584"/>
      <c r="C55" s="570"/>
      <c r="D55" s="571"/>
      <c r="E55" s="571"/>
      <c r="F55" s="571"/>
      <c r="G55" s="567">
        <v>10779300</v>
      </c>
      <c r="H55" s="547">
        <v>43308</v>
      </c>
      <c r="I55" s="571"/>
      <c r="J55" s="623"/>
    </row>
    <row r="56" spans="1:10">
      <c r="A56" s="540">
        <v>5</v>
      </c>
      <c r="B56" s="1999" t="s">
        <v>971</v>
      </c>
      <c r="C56" s="566" t="s">
        <v>972</v>
      </c>
      <c r="D56" s="543">
        <v>7300000</v>
      </c>
      <c r="E56" s="543"/>
      <c r="F56" s="543">
        <f>SUM(G56:G57)</f>
        <v>7300000</v>
      </c>
      <c r="G56" s="567">
        <v>4300000</v>
      </c>
      <c r="H56" s="547">
        <v>43308</v>
      </c>
      <c r="I56" s="543">
        <f>+D56-F56</f>
        <v>0</v>
      </c>
      <c r="J56" s="626" t="s">
        <v>914</v>
      </c>
    </row>
    <row r="57" spans="1:10">
      <c r="A57" s="548"/>
      <c r="B57" s="2000"/>
      <c r="C57" s="569"/>
      <c r="D57" s="551"/>
      <c r="E57" s="551"/>
      <c r="F57" s="551"/>
      <c r="G57" s="543">
        <v>3000000</v>
      </c>
      <c r="H57" s="585">
        <v>43308</v>
      </c>
      <c r="I57" s="551"/>
      <c r="J57" s="622"/>
    </row>
    <row r="58" spans="1:10" ht="31.5">
      <c r="A58" s="586">
        <v>6</v>
      </c>
      <c r="B58" s="587" t="s">
        <v>973</v>
      </c>
      <c r="C58" s="588"/>
      <c r="D58" s="589">
        <v>750000</v>
      </c>
      <c r="E58" s="589"/>
      <c r="F58" s="589">
        <f>+G58</f>
        <v>0</v>
      </c>
      <c r="G58" s="589"/>
      <c r="H58" s="590"/>
      <c r="I58" s="589">
        <f t="shared" ref="I58:I65" si="0">+D58-F58</f>
        <v>750000</v>
      </c>
      <c r="J58" s="627" t="s">
        <v>974</v>
      </c>
    </row>
    <row r="59" spans="1:10">
      <c r="A59" s="540">
        <v>7</v>
      </c>
      <c r="B59" s="1999" t="s">
        <v>975</v>
      </c>
      <c r="C59" s="566"/>
      <c r="D59" s="543">
        <v>44700000</v>
      </c>
      <c r="E59" s="543"/>
      <c r="F59" s="543">
        <f>SUM(G59:G60)</f>
        <v>26200000</v>
      </c>
      <c r="G59" s="567">
        <v>10000000</v>
      </c>
      <c r="H59" s="547">
        <v>43308</v>
      </c>
      <c r="I59" s="543">
        <f t="shared" si="0"/>
        <v>18500000</v>
      </c>
      <c r="J59" s="628" t="s">
        <v>974</v>
      </c>
    </row>
    <row r="60" spans="1:10">
      <c r="A60" s="467"/>
      <c r="B60" s="2001"/>
      <c r="C60" s="570"/>
      <c r="D60" s="571"/>
      <c r="E60" s="571"/>
      <c r="F60" s="571"/>
      <c r="G60" s="567">
        <v>16200000</v>
      </c>
      <c r="H60" s="547">
        <v>43308</v>
      </c>
      <c r="I60" s="571"/>
      <c r="J60" s="623"/>
    </row>
    <row r="61" spans="1:10" ht="31.5">
      <c r="A61" s="555">
        <v>8</v>
      </c>
      <c r="B61" s="592" t="s">
        <v>976</v>
      </c>
      <c r="C61" s="593"/>
      <c r="D61" s="567">
        <v>1500000</v>
      </c>
      <c r="E61" s="567"/>
      <c r="F61" s="567">
        <f>+G61</f>
        <v>1500000</v>
      </c>
      <c r="G61" s="567">
        <v>1500000</v>
      </c>
      <c r="H61" s="547">
        <v>43308</v>
      </c>
      <c r="I61" s="567">
        <f t="shared" si="0"/>
        <v>0</v>
      </c>
      <c r="J61" s="629" t="s">
        <v>914</v>
      </c>
    </row>
    <row r="62" spans="1:10" ht="47.25">
      <c r="A62" s="555">
        <v>9</v>
      </c>
      <c r="B62" s="594" t="s">
        <v>977</v>
      </c>
      <c r="C62" s="593"/>
      <c r="D62" s="567">
        <v>3000000</v>
      </c>
      <c r="E62" s="567"/>
      <c r="F62" s="567">
        <f>+G62</f>
        <v>3000000</v>
      </c>
      <c r="G62" s="567">
        <v>3000000</v>
      </c>
      <c r="H62" s="547">
        <v>43308</v>
      </c>
      <c r="I62" s="567">
        <f t="shared" si="0"/>
        <v>0</v>
      </c>
      <c r="J62" s="629" t="s">
        <v>914</v>
      </c>
    </row>
    <row r="63" spans="1:10" ht="31.5">
      <c r="A63" s="555">
        <v>10</v>
      </c>
      <c r="B63" s="592" t="s">
        <v>978</v>
      </c>
      <c r="C63" s="593"/>
      <c r="D63" s="567">
        <v>1800000</v>
      </c>
      <c r="E63" s="567"/>
      <c r="F63" s="567">
        <f>+G63</f>
        <v>1800000</v>
      </c>
      <c r="G63" s="567">
        <v>1800000</v>
      </c>
      <c r="H63" s="547">
        <v>43308</v>
      </c>
      <c r="I63" s="567">
        <f t="shared" si="0"/>
        <v>0</v>
      </c>
      <c r="J63" s="629" t="s">
        <v>914</v>
      </c>
    </row>
    <row r="64" spans="1:10" ht="31.5">
      <c r="A64" s="555">
        <v>11</v>
      </c>
      <c r="B64" s="592" t="s">
        <v>979</v>
      </c>
      <c r="C64" s="593"/>
      <c r="D64" s="567">
        <v>100000</v>
      </c>
      <c r="E64" s="567"/>
      <c r="F64" s="567">
        <f>+G64</f>
        <v>100000</v>
      </c>
      <c r="G64" s="567">
        <v>100000</v>
      </c>
      <c r="H64" s="547">
        <v>43308</v>
      </c>
      <c r="I64" s="567">
        <f t="shared" si="0"/>
        <v>0</v>
      </c>
      <c r="J64" s="629" t="s">
        <v>914</v>
      </c>
    </row>
    <row r="65" spans="1:10" ht="31.5">
      <c r="A65" s="555">
        <v>12</v>
      </c>
      <c r="B65" s="630" t="s">
        <v>980</v>
      </c>
      <c r="C65" s="468"/>
      <c r="D65" s="564">
        <v>350000</v>
      </c>
      <c r="E65" s="631"/>
      <c r="F65" s="632">
        <f>+G65</f>
        <v>350000</v>
      </c>
      <c r="G65" s="633">
        <v>350000</v>
      </c>
      <c r="H65" s="547">
        <v>43308</v>
      </c>
      <c r="I65" s="567">
        <f t="shared" si="0"/>
        <v>0</v>
      </c>
      <c r="J65" s="629" t="s">
        <v>914</v>
      </c>
    </row>
    <row r="66" spans="1:10" ht="16.5">
      <c r="A66" s="555"/>
      <c r="B66" s="556"/>
      <c r="C66" s="556"/>
      <c r="D66" s="557"/>
      <c r="E66" s="634"/>
      <c r="F66" s="557"/>
      <c r="G66" s="557"/>
      <c r="H66" s="556"/>
      <c r="I66" s="673"/>
      <c r="J66" s="674"/>
    </row>
    <row r="67" spans="1:10" ht="63">
      <c r="A67" s="536" t="s">
        <v>981</v>
      </c>
      <c r="B67" s="537" t="s">
        <v>982</v>
      </c>
      <c r="C67" s="538" t="s">
        <v>983</v>
      </c>
      <c r="D67" s="539">
        <f>+D68</f>
        <v>1800000</v>
      </c>
      <c r="E67" s="539"/>
      <c r="F67" s="539">
        <f>+F68</f>
        <v>0</v>
      </c>
      <c r="G67" s="539">
        <f>+G68</f>
        <v>0</v>
      </c>
      <c r="H67" s="539">
        <f>+H68</f>
        <v>0</v>
      </c>
      <c r="I67" s="539">
        <f>+I68</f>
        <v>1800000</v>
      </c>
      <c r="J67" s="619" t="s">
        <v>963</v>
      </c>
    </row>
    <row r="68" spans="1:10" ht="15.6" customHeight="1">
      <c r="A68" s="1499" t="s">
        <v>984</v>
      </c>
      <c r="B68" s="635" t="s">
        <v>985</v>
      </c>
      <c r="C68" s="593" t="s">
        <v>968</v>
      </c>
      <c r="D68" s="567">
        <v>1800000</v>
      </c>
      <c r="E68" s="567"/>
      <c r="F68" s="567">
        <f>+G68</f>
        <v>0</v>
      </c>
      <c r="G68" s="567">
        <v>0</v>
      </c>
      <c r="H68" s="547"/>
      <c r="I68" s="567">
        <f>+D68-F68</f>
        <v>1800000</v>
      </c>
      <c r="J68" s="675" t="s">
        <v>974</v>
      </c>
    </row>
    <row r="69" spans="1:10" ht="47.25">
      <c r="A69" s="536" t="s">
        <v>986</v>
      </c>
      <c r="B69" s="537" t="s">
        <v>987</v>
      </c>
      <c r="C69" s="538" t="s">
        <v>988</v>
      </c>
      <c r="D69" s="636">
        <f>SUM(D70:D85)</f>
        <v>123630947</v>
      </c>
      <c r="E69" s="637"/>
      <c r="F69" s="636">
        <f>SUM(F70:F85)</f>
        <v>123630947</v>
      </c>
      <c r="G69" s="636">
        <f>SUM(G70:G85)</f>
        <v>123630947</v>
      </c>
      <c r="H69" s="636"/>
      <c r="I69" s="636">
        <f>SUM(I70:I85)</f>
        <v>0</v>
      </c>
      <c r="J69" s="676" t="s">
        <v>957</v>
      </c>
    </row>
    <row r="70" spans="1:10" ht="31.5">
      <c r="A70" s="555">
        <v>14</v>
      </c>
      <c r="B70" s="584" t="s">
        <v>989</v>
      </c>
      <c r="C70" s="570" t="s">
        <v>990</v>
      </c>
      <c r="D70" s="564">
        <v>1226500</v>
      </c>
      <c r="E70" s="631"/>
      <c r="F70" s="638">
        <f>+G70</f>
        <v>1226500</v>
      </c>
      <c r="G70" s="564">
        <v>1226500</v>
      </c>
      <c r="H70" s="547">
        <v>43342</v>
      </c>
      <c r="I70" s="638">
        <f>+D70-F70</f>
        <v>0</v>
      </c>
      <c r="J70" s="629" t="s">
        <v>914</v>
      </c>
    </row>
    <row r="71" spans="1:10" ht="31.5">
      <c r="A71" s="555">
        <v>15</v>
      </c>
      <c r="B71" s="584" t="s">
        <v>991</v>
      </c>
      <c r="C71" s="570" t="s">
        <v>990</v>
      </c>
      <c r="D71" s="564">
        <v>9441500</v>
      </c>
      <c r="E71" s="631"/>
      <c r="F71" s="638">
        <f>+G71</f>
        <v>9441500</v>
      </c>
      <c r="G71" s="564">
        <v>9441500</v>
      </c>
      <c r="H71" s="547">
        <v>43342</v>
      </c>
      <c r="I71" s="638">
        <f t="shared" ref="I71:I85" si="1">+D71-F71</f>
        <v>0</v>
      </c>
      <c r="J71" s="629" t="s">
        <v>914</v>
      </c>
    </row>
    <row r="72" spans="1:10" ht="16.5">
      <c r="A72" s="555">
        <v>16</v>
      </c>
      <c r="B72" s="1999" t="s">
        <v>992</v>
      </c>
      <c r="C72" s="566" t="s">
        <v>990</v>
      </c>
      <c r="D72" s="639">
        <v>12128570</v>
      </c>
      <c r="E72" s="640"/>
      <c r="F72" s="640">
        <f>SUM(G72:G73)</f>
        <v>12128570</v>
      </c>
      <c r="G72" s="564">
        <v>9265455</v>
      </c>
      <c r="H72" s="547">
        <v>43343</v>
      </c>
      <c r="I72" s="639">
        <f t="shared" si="1"/>
        <v>0</v>
      </c>
      <c r="J72" s="626" t="s">
        <v>914</v>
      </c>
    </row>
    <row r="73" spans="1:10" ht="16.5">
      <c r="A73" s="555">
        <v>17</v>
      </c>
      <c r="B73" s="2001"/>
      <c r="C73" s="570"/>
      <c r="D73" s="564"/>
      <c r="E73" s="641"/>
      <c r="F73" s="641"/>
      <c r="G73" s="564">
        <v>2863115</v>
      </c>
      <c r="H73" s="547">
        <v>43343</v>
      </c>
      <c r="I73" s="641"/>
      <c r="J73" s="677"/>
    </row>
    <row r="74" spans="1:10" ht="31.5">
      <c r="A74" s="555">
        <v>18</v>
      </c>
      <c r="B74" s="584" t="s">
        <v>993</v>
      </c>
      <c r="C74" s="570" t="s">
        <v>990</v>
      </c>
      <c r="D74" s="564">
        <v>600000</v>
      </c>
      <c r="E74" s="631"/>
      <c r="F74" s="638">
        <f t="shared" ref="F74:F85" si="2">+G74</f>
        <v>600000</v>
      </c>
      <c r="G74" s="564">
        <v>600000</v>
      </c>
      <c r="H74" s="547">
        <v>43336</v>
      </c>
      <c r="I74" s="638">
        <f t="shared" si="1"/>
        <v>0</v>
      </c>
      <c r="J74" s="678"/>
    </row>
    <row r="75" spans="1:10" ht="31.5">
      <c r="A75" s="555">
        <v>19</v>
      </c>
      <c r="B75" s="584" t="s">
        <v>994</v>
      </c>
      <c r="C75" s="570" t="s">
        <v>990</v>
      </c>
      <c r="D75" s="564">
        <v>4200000</v>
      </c>
      <c r="E75" s="631"/>
      <c r="F75" s="638">
        <f t="shared" si="2"/>
        <v>4200000</v>
      </c>
      <c r="G75" s="564">
        <v>4200000</v>
      </c>
      <c r="H75" s="547">
        <v>43339</v>
      </c>
      <c r="I75" s="638">
        <f t="shared" si="1"/>
        <v>0</v>
      </c>
      <c r="J75" s="678"/>
    </row>
    <row r="76" spans="1:10" ht="47.25">
      <c r="A76" s="555">
        <v>20</v>
      </c>
      <c r="B76" s="584" t="s">
        <v>995</v>
      </c>
      <c r="C76" s="570" t="s">
        <v>996</v>
      </c>
      <c r="D76" s="564">
        <v>7586255</v>
      </c>
      <c r="E76" s="631"/>
      <c r="F76" s="638">
        <f t="shared" si="2"/>
        <v>7586255</v>
      </c>
      <c r="G76" s="564">
        <v>7586255</v>
      </c>
      <c r="H76" s="547">
        <v>43339</v>
      </c>
      <c r="I76" s="638">
        <f t="shared" si="1"/>
        <v>0</v>
      </c>
      <c r="J76" s="678"/>
    </row>
    <row r="77" spans="1:10" ht="31.5">
      <c r="A77" s="555">
        <v>21</v>
      </c>
      <c r="B77" s="584" t="s">
        <v>997</v>
      </c>
      <c r="C77" s="570" t="s">
        <v>996</v>
      </c>
      <c r="D77" s="564">
        <v>14000000</v>
      </c>
      <c r="E77" s="631"/>
      <c r="F77" s="638">
        <f t="shared" si="2"/>
        <v>14000000</v>
      </c>
      <c r="G77" s="564">
        <v>14000000</v>
      </c>
      <c r="H77" s="547">
        <v>43339</v>
      </c>
      <c r="I77" s="638">
        <f t="shared" si="1"/>
        <v>0</v>
      </c>
      <c r="J77" s="678"/>
    </row>
    <row r="78" spans="1:10" ht="31.5">
      <c r="A78" s="555">
        <v>22</v>
      </c>
      <c r="B78" s="584" t="s">
        <v>998</v>
      </c>
      <c r="C78" s="570" t="s">
        <v>996</v>
      </c>
      <c r="D78" s="564">
        <v>276000</v>
      </c>
      <c r="E78" s="631"/>
      <c r="F78" s="638">
        <f t="shared" si="2"/>
        <v>276000</v>
      </c>
      <c r="G78" s="564">
        <v>276000</v>
      </c>
      <c r="H78" s="547">
        <v>43339</v>
      </c>
      <c r="I78" s="638">
        <f t="shared" si="1"/>
        <v>0</v>
      </c>
      <c r="J78" s="678"/>
    </row>
    <row r="79" spans="1:10" ht="31.5">
      <c r="A79" s="642">
        <v>23</v>
      </c>
      <c r="B79" s="643" t="s">
        <v>999</v>
      </c>
      <c r="C79" s="644" t="s">
        <v>990</v>
      </c>
      <c r="D79" s="645">
        <v>10450365</v>
      </c>
      <c r="E79" s="646"/>
      <c r="F79" s="645">
        <f t="shared" si="2"/>
        <v>10450365</v>
      </c>
      <c r="G79" s="645">
        <v>10450365</v>
      </c>
      <c r="H79" s="647">
        <v>43335</v>
      </c>
      <c r="I79" s="645">
        <f t="shared" si="1"/>
        <v>0</v>
      </c>
      <c r="J79" s="679"/>
    </row>
    <row r="80" spans="1:10" ht="31.5">
      <c r="A80" s="586">
        <v>24</v>
      </c>
      <c r="B80" s="648" t="s">
        <v>1000</v>
      </c>
      <c r="C80" s="588" t="s">
        <v>990</v>
      </c>
      <c r="D80" s="649">
        <v>3755000</v>
      </c>
      <c r="E80" s="650"/>
      <c r="F80" s="649">
        <f t="shared" si="2"/>
        <v>3755000</v>
      </c>
      <c r="G80" s="649">
        <v>3755000</v>
      </c>
      <c r="H80" s="590">
        <v>43335</v>
      </c>
      <c r="I80" s="649">
        <f t="shared" si="1"/>
        <v>0</v>
      </c>
      <c r="J80" s="680"/>
    </row>
    <row r="81" spans="1:10" ht="31.5">
      <c r="A81" s="555">
        <v>25</v>
      </c>
      <c r="B81" s="584" t="s">
        <v>1001</v>
      </c>
      <c r="C81" s="570" t="s">
        <v>990</v>
      </c>
      <c r="D81" s="564">
        <v>929500</v>
      </c>
      <c r="E81" s="631"/>
      <c r="F81" s="638">
        <f t="shared" si="2"/>
        <v>929500</v>
      </c>
      <c r="G81" s="564">
        <v>929500</v>
      </c>
      <c r="H81" s="547">
        <v>43335</v>
      </c>
      <c r="I81" s="638">
        <f t="shared" si="1"/>
        <v>0</v>
      </c>
      <c r="J81" s="678"/>
    </row>
    <row r="82" spans="1:10" ht="31.5">
      <c r="A82" s="555">
        <v>26</v>
      </c>
      <c r="B82" s="584" t="s">
        <v>1002</v>
      </c>
      <c r="C82" s="570" t="s">
        <v>996</v>
      </c>
      <c r="D82" s="564">
        <v>7706365</v>
      </c>
      <c r="E82" s="631"/>
      <c r="F82" s="638">
        <f t="shared" si="2"/>
        <v>7706365</v>
      </c>
      <c r="G82" s="564">
        <v>7706365</v>
      </c>
      <c r="H82" s="547">
        <v>43356</v>
      </c>
      <c r="I82" s="638">
        <f t="shared" si="1"/>
        <v>0</v>
      </c>
      <c r="J82" s="678"/>
    </row>
    <row r="83" spans="1:10" ht="31.5">
      <c r="A83" s="555">
        <v>27</v>
      </c>
      <c r="B83" s="584" t="s">
        <v>1003</v>
      </c>
      <c r="C83" s="570" t="s">
        <v>1004</v>
      </c>
      <c r="D83" s="564">
        <v>8330892</v>
      </c>
      <c r="E83" s="631"/>
      <c r="F83" s="638">
        <f t="shared" si="2"/>
        <v>8330892</v>
      </c>
      <c r="G83" s="564">
        <v>8330892</v>
      </c>
      <c r="H83" s="547">
        <v>43356</v>
      </c>
      <c r="I83" s="638">
        <f t="shared" si="1"/>
        <v>0</v>
      </c>
      <c r="J83" s="678"/>
    </row>
    <row r="84" spans="1:10" ht="15.6" customHeight="1">
      <c r="A84" s="555">
        <v>28</v>
      </c>
      <c r="B84" s="584" t="s">
        <v>1005</v>
      </c>
      <c r="C84" s="570" t="s">
        <v>996</v>
      </c>
      <c r="D84" s="564">
        <v>25000000</v>
      </c>
      <c r="E84" s="631"/>
      <c r="F84" s="638">
        <f t="shared" si="2"/>
        <v>25000000</v>
      </c>
      <c r="G84" s="564">
        <v>25000000</v>
      </c>
      <c r="H84" s="651">
        <v>43340</v>
      </c>
      <c r="I84" s="638">
        <f t="shared" si="1"/>
        <v>0</v>
      </c>
      <c r="J84" s="678"/>
    </row>
    <row r="85" spans="1:10" ht="31.5">
      <c r="A85" s="555">
        <v>29</v>
      </c>
      <c r="B85" s="584" t="s">
        <v>1006</v>
      </c>
      <c r="C85" s="570" t="s">
        <v>996</v>
      </c>
      <c r="D85" s="564">
        <v>18000000</v>
      </c>
      <c r="E85" s="631"/>
      <c r="F85" s="638">
        <f t="shared" si="2"/>
        <v>18000000</v>
      </c>
      <c r="G85" s="564">
        <v>18000000</v>
      </c>
      <c r="H85" s="651">
        <v>43340</v>
      </c>
      <c r="I85" s="638">
        <f t="shared" si="1"/>
        <v>0</v>
      </c>
      <c r="J85" s="678"/>
    </row>
    <row r="86" spans="1:10" ht="16.5">
      <c r="A86" s="555"/>
      <c r="B86" s="556"/>
      <c r="C86" s="556"/>
      <c r="D86" s="557"/>
      <c r="E86" s="634"/>
      <c r="F86" s="557"/>
      <c r="G86" s="557"/>
      <c r="H86" s="556"/>
      <c r="I86" s="673"/>
      <c r="J86" s="674"/>
    </row>
    <row r="87" spans="1:10" ht="31.5">
      <c r="A87" s="536" t="s">
        <v>1007</v>
      </c>
      <c r="B87" s="537" t="s">
        <v>190</v>
      </c>
      <c r="C87" s="538" t="s">
        <v>1008</v>
      </c>
      <c r="D87" s="636">
        <f>SUM(D88:D89)</f>
        <v>35268055</v>
      </c>
      <c r="E87" s="636"/>
      <c r="F87" s="636">
        <f>SUM(F88:F89)</f>
        <v>35268055</v>
      </c>
      <c r="G87" s="636">
        <f>SUM(G88:G89)</f>
        <v>35268055</v>
      </c>
      <c r="H87" s="636"/>
      <c r="I87" s="636">
        <f>SUM(I88:I89)</f>
        <v>0</v>
      </c>
      <c r="J87" s="612" t="s">
        <v>957</v>
      </c>
    </row>
    <row r="88" spans="1:10" ht="16.5">
      <c r="A88" s="540">
        <v>30</v>
      </c>
      <c r="B88" s="1999" t="s">
        <v>1009</v>
      </c>
      <c r="C88" s="566" t="s">
        <v>1010</v>
      </c>
      <c r="D88" s="639">
        <v>35268055</v>
      </c>
      <c r="E88" s="640"/>
      <c r="F88" s="640">
        <f>SUM(G88:G89)</f>
        <v>35268055</v>
      </c>
      <c r="G88" s="564">
        <v>20000000</v>
      </c>
      <c r="H88" s="547">
        <v>43328</v>
      </c>
      <c r="I88" s="639">
        <f>+D88-F88</f>
        <v>0</v>
      </c>
      <c r="J88" s="626" t="s">
        <v>914</v>
      </c>
    </row>
    <row r="89" spans="1:10" ht="15.6" customHeight="1">
      <c r="A89" s="467"/>
      <c r="B89" s="2001"/>
      <c r="C89" s="570"/>
      <c r="D89" s="564"/>
      <c r="E89" s="641"/>
      <c r="F89" s="641"/>
      <c r="G89" s="564">
        <v>15268055</v>
      </c>
      <c r="H89" s="547">
        <v>43426</v>
      </c>
      <c r="I89" s="641"/>
      <c r="J89" s="677"/>
    </row>
    <row r="90" spans="1:10" ht="16.5">
      <c r="A90" s="555"/>
      <c r="B90" s="556"/>
      <c r="C90" s="556"/>
      <c r="D90" s="557"/>
      <c r="E90" s="634"/>
      <c r="F90" s="557"/>
      <c r="G90" s="557"/>
      <c r="H90" s="556"/>
      <c r="I90" s="673"/>
      <c r="J90" s="674"/>
    </row>
    <row r="91" spans="1:10" ht="31.5">
      <c r="A91" s="536" t="s">
        <v>1011</v>
      </c>
      <c r="B91" s="537" t="s">
        <v>1012</v>
      </c>
      <c r="C91" s="538" t="s">
        <v>1013</v>
      </c>
      <c r="D91" s="636">
        <f>SUM(D92:D104)</f>
        <v>62926000</v>
      </c>
      <c r="E91" s="636"/>
      <c r="F91" s="636">
        <f>SUM(F92:F111)</f>
        <v>92927600</v>
      </c>
      <c r="G91" s="636">
        <f>SUM(G92:G111)</f>
        <v>92927600</v>
      </c>
      <c r="H91" s="636"/>
      <c r="I91" s="636">
        <f>SUM(I92:I111)</f>
        <v>0</v>
      </c>
      <c r="J91" s="612" t="s">
        <v>957</v>
      </c>
    </row>
    <row r="92" spans="1:10" ht="47.25">
      <c r="A92" s="540">
        <v>31</v>
      </c>
      <c r="B92" s="652" t="s">
        <v>1014</v>
      </c>
      <c r="C92" s="593" t="s">
        <v>1015</v>
      </c>
      <c r="D92" s="564">
        <v>18508000</v>
      </c>
      <c r="E92" s="564"/>
      <c r="F92" s="564">
        <f>+G92</f>
        <v>18508000</v>
      </c>
      <c r="G92" s="564">
        <v>18508000</v>
      </c>
      <c r="H92" s="547">
        <v>43340</v>
      </c>
      <c r="I92" s="564">
        <f>+D92-F92</f>
        <v>0</v>
      </c>
      <c r="J92" s="629" t="s">
        <v>914</v>
      </c>
    </row>
    <row r="93" spans="1:10">
      <c r="A93" s="548">
        <v>32</v>
      </c>
      <c r="B93" s="2009" t="s">
        <v>1016</v>
      </c>
      <c r="C93" s="566" t="s">
        <v>1015</v>
      </c>
      <c r="D93" s="654">
        <v>9750000</v>
      </c>
      <c r="E93" s="654"/>
      <c r="F93" s="654">
        <f>SUM(G93:G98)</f>
        <v>9750000</v>
      </c>
      <c r="G93" s="564">
        <v>4000000</v>
      </c>
      <c r="H93" s="547">
        <v>43336</v>
      </c>
      <c r="I93" s="639">
        <f>+D93-F93</f>
        <v>0</v>
      </c>
      <c r="J93" s="626" t="s">
        <v>914</v>
      </c>
    </row>
    <row r="94" spans="1:10">
      <c r="A94" s="548"/>
      <c r="B94" s="2010"/>
      <c r="C94" s="654"/>
      <c r="D94" s="654"/>
      <c r="E94" s="654"/>
      <c r="F94" s="654"/>
      <c r="G94" s="564">
        <v>2000000</v>
      </c>
      <c r="H94" s="547">
        <v>43336</v>
      </c>
      <c r="I94" s="654"/>
      <c r="J94" s="681"/>
    </row>
    <row r="95" spans="1:10">
      <c r="A95" s="548"/>
      <c r="B95" s="654"/>
      <c r="C95" s="654"/>
      <c r="D95" s="654"/>
      <c r="E95" s="654"/>
      <c r="F95" s="654"/>
      <c r="G95" s="564">
        <v>1000000</v>
      </c>
      <c r="H95" s="547">
        <v>43336</v>
      </c>
      <c r="I95" s="654"/>
      <c r="J95" s="681"/>
    </row>
    <row r="96" spans="1:10">
      <c r="A96" s="548"/>
      <c r="B96" s="654"/>
      <c r="C96" s="654"/>
      <c r="D96" s="654"/>
      <c r="E96" s="654"/>
      <c r="F96" s="654"/>
      <c r="G96" s="564">
        <v>1000000</v>
      </c>
      <c r="H96" s="547">
        <v>43336</v>
      </c>
      <c r="I96" s="654"/>
      <c r="J96" s="681"/>
    </row>
    <row r="97" spans="1:10">
      <c r="A97" s="548"/>
      <c r="B97" s="654"/>
      <c r="C97" s="654"/>
      <c r="D97" s="654"/>
      <c r="E97" s="654"/>
      <c r="F97" s="654"/>
      <c r="G97" s="564">
        <v>1250000</v>
      </c>
      <c r="H97" s="547">
        <v>43336</v>
      </c>
      <c r="I97" s="654"/>
      <c r="J97" s="681"/>
    </row>
    <row r="98" spans="1:10" ht="16.5">
      <c r="A98" s="467"/>
      <c r="B98" s="630"/>
      <c r="C98" s="570"/>
      <c r="D98" s="564"/>
      <c r="E98" s="641"/>
      <c r="F98" s="641"/>
      <c r="G98" s="564">
        <v>500000</v>
      </c>
      <c r="H98" s="547">
        <v>43336</v>
      </c>
      <c r="I98" s="564"/>
      <c r="J98" s="682"/>
    </row>
    <row r="99" spans="1:10" ht="31.5">
      <c r="A99" s="555">
        <v>33</v>
      </c>
      <c r="B99" s="652" t="s">
        <v>1017</v>
      </c>
      <c r="C99" s="593" t="s">
        <v>1015</v>
      </c>
      <c r="D99" s="564">
        <v>4000000</v>
      </c>
      <c r="E99" s="547"/>
      <c r="F99" s="564">
        <f t="shared" ref="F99:F104" si="3">+G99</f>
        <v>4000000</v>
      </c>
      <c r="G99" s="638">
        <v>4000000</v>
      </c>
      <c r="H99" s="547">
        <v>43336</v>
      </c>
      <c r="I99" s="564">
        <f t="shared" ref="I99:I104" si="4">+D99-F99</f>
        <v>0</v>
      </c>
      <c r="J99" s="629" t="s">
        <v>914</v>
      </c>
    </row>
    <row r="100" spans="1:10" ht="31.5">
      <c r="A100" s="548">
        <v>34</v>
      </c>
      <c r="B100" s="652" t="s">
        <v>1018</v>
      </c>
      <c r="C100" s="593" t="s">
        <v>1019</v>
      </c>
      <c r="D100" s="564">
        <v>5000000</v>
      </c>
      <c r="E100" s="547"/>
      <c r="F100" s="564">
        <f t="shared" si="3"/>
        <v>5000000</v>
      </c>
      <c r="G100" s="638">
        <v>5000000</v>
      </c>
      <c r="H100" s="547">
        <v>43336</v>
      </c>
      <c r="I100" s="564">
        <f t="shared" si="4"/>
        <v>0</v>
      </c>
      <c r="J100" s="629" t="s">
        <v>914</v>
      </c>
    </row>
    <row r="101" spans="1:10" ht="31.5">
      <c r="A101" s="555">
        <v>35</v>
      </c>
      <c r="B101" s="652" t="s">
        <v>1020</v>
      </c>
      <c r="C101" s="593" t="s">
        <v>1015</v>
      </c>
      <c r="D101" s="564">
        <v>750000</v>
      </c>
      <c r="E101" s="547"/>
      <c r="F101" s="564">
        <f t="shared" si="3"/>
        <v>750000</v>
      </c>
      <c r="G101" s="638">
        <v>750000</v>
      </c>
      <c r="H101" s="547">
        <v>43319</v>
      </c>
      <c r="I101" s="564">
        <f t="shared" si="4"/>
        <v>0</v>
      </c>
      <c r="J101" s="629" t="s">
        <v>914</v>
      </c>
    </row>
    <row r="102" spans="1:10" ht="31.5">
      <c r="A102" s="642">
        <v>36</v>
      </c>
      <c r="B102" s="656" t="s">
        <v>1021</v>
      </c>
      <c r="C102" s="644" t="s">
        <v>1019</v>
      </c>
      <c r="D102" s="645">
        <v>12000000</v>
      </c>
      <c r="E102" s="645"/>
      <c r="F102" s="645">
        <f t="shared" si="3"/>
        <v>12000000</v>
      </c>
      <c r="G102" s="645">
        <v>12000000</v>
      </c>
      <c r="H102" s="647">
        <v>43319</v>
      </c>
      <c r="I102" s="645">
        <f t="shared" si="4"/>
        <v>0</v>
      </c>
      <c r="J102" s="683" t="s">
        <v>914</v>
      </c>
    </row>
    <row r="103" spans="1:10" ht="15.6" customHeight="1">
      <c r="A103" s="586">
        <v>37</v>
      </c>
      <c r="B103" s="657" t="s">
        <v>1022</v>
      </c>
      <c r="C103" s="588" t="s">
        <v>1015</v>
      </c>
      <c r="D103" s="649">
        <v>4000000</v>
      </c>
      <c r="E103" s="649"/>
      <c r="F103" s="649">
        <f t="shared" si="3"/>
        <v>4000000</v>
      </c>
      <c r="G103" s="649">
        <v>4000000</v>
      </c>
      <c r="H103" s="590">
        <v>43332</v>
      </c>
      <c r="I103" s="649">
        <f t="shared" si="4"/>
        <v>0</v>
      </c>
      <c r="J103" s="684" t="s">
        <v>914</v>
      </c>
    </row>
    <row r="104" spans="1:10" ht="47.25">
      <c r="A104" s="548">
        <v>38</v>
      </c>
      <c r="B104" s="652" t="s">
        <v>1023</v>
      </c>
      <c r="C104" s="593" t="s">
        <v>1019</v>
      </c>
      <c r="D104" s="564">
        <v>8918000</v>
      </c>
      <c r="E104" s="564"/>
      <c r="F104" s="564">
        <f t="shared" si="3"/>
        <v>8918000</v>
      </c>
      <c r="G104" s="546">
        <v>8918000</v>
      </c>
      <c r="H104" s="658">
        <v>43332</v>
      </c>
      <c r="I104" s="564">
        <f t="shared" si="4"/>
        <v>0</v>
      </c>
      <c r="J104" s="629" t="s">
        <v>914</v>
      </c>
    </row>
    <row r="105" spans="1:10" ht="15.6" customHeight="1">
      <c r="A105" s="555"/>
      <c r="B105" s="556"/>
      <c r="C105" s="556"/>
      <c r="D105" s="557"/>
      <c r="E105" s="634"/>
      <c r="F105" s="557"/>
      <c r="G105" s="557"/>
      <c r="H105" s="556"/>
      <c r="I105" s="673"/>
      <c r="J105" s="674"/>
    </row>
    <row r="106" spans="1:10" ht="31.5">
      <c r="A106" s="536" t="s">
        <v>1024</v>
      </c>
      <c r="B106" s="537" t="s">
        <v>1025</v>
      </c>
      <c r="C106" s="538" t="s">
        <v>1026</v>
      </c>
      <c r="D106" s="636">
        <f>SUM(D107:D111)</f>
        <v>15000800</v>
      </c>
      <c r="E106" s="636">
        <f>SUM(E107:E111)</f>
        <v>0</v>
      </c>
      <c r="F106" s="636">
        <f>SUM(F107:F111)</f>
        <v>15000800</v>
      </c>
      <c r="G106" s="636">
        <f>SUM(G107:G111)</f>
        <v>15000800</v>
      </c>
      <c r="H106" s="636"/>
      <c r="I106" s="636">
        <f>SUM(I107:I111)</f>
        <v>0</v>
      </c>
      <c r="J106" s="612" t="s">
        <v>957</v>
      </c>
    </row>
    <row r="107" spans="1:10" ht="16.5">
      <c r="A107" s="548">
        <v>39</v>
      </c>
      <c r="B107" s="2009" t="s">
        <v>1027</v>
      </c>
      <c r="C107" s="566" t="s">
        <v>1028</v>
      </c>
      <c r="D107" s="639">
        <v>8685800</v>
      </c>
      <c r="E107" s="639"/>
      <c r="F107" s="639">
        <f>SUM(G107:G108)</f>
        <v>8685800</v>
      </c>
      <c r="G107" s="638">
        <v>5700000</v>
      </c>
      <c r="H107" s="547">
        <v>43426</v>
      </c>
      <c r="I107" s="640">
        <f>+D107-F107</f>
        <v>0</v>
      </c>
      <c r="J107" s="685" t="s">
        <v>914</v>
      </c>
    </row>
    <row r="108" spans="1:10" ht="16.5">
      <c r="A108" s="659"/>
      <c r="B108" s="2011"/>
      <c r="C108" s="569"/>
      <c r="D108" s="654"/>
      <c r="E108" s="654"/>
      <c r="F108" s="654"/>
      <c r="G108" s="638">
        <v>2985800</v>
      </c>
      <c r="H108" s="547">
        <v>43431</v>
      </c>
      <c r="I108" s="686"/>
      <c r="J108" s="687"/>
    </row>
    <row r="109" spans="1:10" ht="16.5">
      <c r="A109" s="548" t="s">
        <v>1029</v>
      </c>
      <c r="B109" s="2012" t="s">
        <v>1030</v>
      </c>
      <c r="C109" s="566" t="s">
        <v>1031</v>
      </c>
      <c r="D109" s="639">
        <v>2175000</v>
      </c>
      <c r="E109" s="639"/>
      <c r="F109" s="639">
        <f>SUM(G109:G110)</f>
        <v>2175000</v>
      </c>
      <c r="G109" s="638">
        <v>860000</v>
      </c>
      <c r="H109" s="547">
        <v>43416</v>
      </c>
      <c r="I109" s="640">
        <f>+D109-F109</f>
        <v>0</v>
      </c>
      <c r="J109" s="685" t="s">
        <v>914</v>
      </c>
    </row>
    <row r="110" spans="1:10" ht="15.6" customHeight="1">
      <c r="A110" s="659"/>
      <c r="B110" s="2013"/>
      <c r="C110" s="569"/>
      <c r="D110" s="654"/>
      <c r="E110" s="654"/>
      <c r="F110" s="654"/>
      <c r="G110" s="638">
        <v>1315000</v>
      </c>
      <c r="H110" s="547">
        <v>43426</v>
      </c>
      <c r="I110" s="686"/>
      <c r="J110" s="687"/>
    </row>
    <row r="111" spans="1:10" ht="31.5">
      <c r="A111" s="548">
        <v>50</v>
      </c>
      <c r="B111" s="661" t="s">
        <v>1032</v>
      </c>
      <c r="C111" s="593" t="s">
        <v>1033</v>
      </c>
      <c r="D111" s="638">
        <v>4140000</v>
      </c>
      <c r="E111" s="638"/>
      <c r="F111" s="638">
        <f>+G111</f>
        <v>4140000</v>
      </c>
      <c r="G111" s="638">
        <v>4140000</v>
      </c>
      <c r="H111" s="547">
        <v>43416</v>
      </c>
      <c r="I111" s="688">
        <f>+D111-F111</f>
        <v>0</v>
      </c>
      <c r="J111" s="629" t="s">
        <v>914</v>
      </c>
    </row>
    <row r="112" spans="1:10">
      <c r="A112" s="555"/>
      <c r="B112" s="556"/>
      <c r="C112" s="556"/>
      <c r="D112" s="557"/>
      <c r="E112" s="556"/>
      <c r="F112" s="557"/>
      <c r="G112" s="557"/>
      <c r="H112" s="556"/>
      <c r="I112" s="673"/>
      <c r="J112" s="674"/>
    </row>
    <row r="113" spans="1:10" ht="31.5">
      <c r="A113" s="536" t="s">
        <v>1034</v>
      </c>
      <c r="B113" s="537" t="s">
        <v>171</v>
      </c>
      <c r="C113" s="538" t="s">
        <v>1035</v>
      </c>
      <c r="D113" s="636">
        <f>SUM(D114:D122)</f>
        <v>23385000</v>
      </c>
      <c r="E113" s="636">
        <f>SUM(E114:E122)</f>
        <v>0</v>
      </c>
      <c r="F113" s="636">
        <f>SUM(F114:F122)</f>
        <v>17464000</v>
      </c>
      <c r="G113" s="636">
        <f>SUM(G114:G122)</f>
        <v>17464000</v>
      </c>
      <c r="H113" s="636"/>
      <c r="I113" s="636">
        <f>SUM(I114:I122)</f>
        <v>5921000</v>
      </c>
      <c r="J113" s="619" t="s">
        <v>963</v>
      </c>
    </row>
    <row r="114" spans="1:10">
      <c r="A114" s="540">
        <v>51</v>
      </c>
      <c r="B114" s="2009" t="s">
        <v>1036</v>
      </c>
      <c r="C114" s="566" t="s">
        <v>1015</v>
      </c>
      <c r="D114" s="639">
        <v>3964000</v>
      </c>
      <c r="E114" s="639"/>
      <c r="F114" s="639">
        <f>SUM(G114:G118)</f>
        <v>3964000</v>
      </c>
      <c r="G114" s="638">
        <v>1700000</v>
      </c>
      <c r="H114" s="547">
        <v>43308</v>
      </c>
      <c r="I114" s="639">
        <f>+D114-F114</f>
        <v>0</v>
      </c>
      <c r="J114" s="626" t="s">
        <v>914</v>
      </c>
    </row>
    <row r="115" spans="1:10">
      <c r="A115" s="548"/>
      <c r="B115" s="2010"/>
      <c r="C115" s="569"/>
      <c r="D115" s="654"/>
      <c r="E115" s="654"/>
      <c r="F115" s="654"/>
      <c r="G115" s="564">
        <v>600000</v>
      </c>
      <c r="H115" s="662">
        <v>43308</v>
      </c>
      <c r="I115" s="654"/>
      <c r="J115" s="689"/>
    </row>
    <row r="116" spans="1:10">
      <c r="A116" s="663"/>
      <c r="B116" s="654"/>
      <c r="C116" s="569"/>
      <c r="D116" s="654"/>
      <c r="E116" s="654"/>
      <c r="F116" s="654"/>
      <c r="G116" s="564">
        <v>232000</v>
      </c>
      <c r="H116" s="547">
        <v>43341</v>
      </c>
      <c r="I116" s="654"/>
      <c r="J116" s="689"/>
    </row>
    <row r="117" spans="1:10">
      <c r="A117" s="663"/>
      <c r="B117" s="654"/>
      <c r="C117" s="569"/>
      <c r="D117" s="654"/>
      <c r="E117" s="654"/>
      <c r="F117" s="654"/>
      <c r="G117" s="564">
        <v>600000</v>
      </c>
      <c r="H117" s="547">
        <v>43341</v>
      </c>
      <c r="I117" s="654"/>
      <c r="J117" s="689"/>
    </row>
    <row r="118" spans="1:10">
      <c r="A118" s="548"/>
      <c r="B118" s="652"/>
      <c r="C118" s="570"/>
      <c r="D118" s="564"/>
      <c r="E118" s="564"/>
      <c r="F118" s="564"/>
      <c r="G118" s="564">
        <v>832000</v>
      </c>
      <c r="H118" s="547">
        <v>43433</v>
      </c>
      <c r="I118" s="564"/>
      <c r="J118" s="690"/>
    </row>
    <row r="119" spans="1:10" ht="31.5">
      <c r="A119" s="555">
        <v>52</v>
      </c>
      <c r="B119" s="541" t="s">
        <v>1037</v>
      </c>
      <c r="C119" s="566" t="s">
        <v>1038</v>
      </c>
      <c r="D119" s="639">
        <v>5921000</v>
      </c>
      <c r="E119" s="639"/>
      <c r="F119" s="639">
        <f>+G119</f>
        <v>0</v>
      </c>
      <c r="G119" s="639">
        <v>0</v>
      </c>
      <c r="H119" s="585"/>
      <c r="I119" s="639">
        <f>+D119-F119</f>
        <v>5921000</v>
      </c>
      <c r="J119" s="691" t="s">
        <v>1039</v>
      </c>
    </row>
    <row r="120" spans="1:10">
      <c r="A120" s="540">
        <v>53</v>
      </c>
      <c r="B120" s="2009" t="s">
        <v>1040</v>
      </c>
      <c r="C120" s="566" t="s">
        <v>1041</v>
      </c>
      <c r="D120" s="639">
        <v>13500000</v>
      </c>
      <c r="E120" s="585"/>
      <c r="F120" s="639">
        <f>SUM(G120:G121)</f>
        <v>13500000</v>
      </c>
      <c r="G120" s="638">
        <v>12000000</v>
      </c>
      <c r="H120" s="547">
        <v>43341</v>
      </c>
      <c r="I120" s="692">
        <f>+D120-F120</f>
        <v>0</v>
      </c>
      <c r="J120" s="693" t="s">
        <v>914</v>
      </c>
    </row>
    <row r="121" spans="1:10">
      <c r="A121" s="467"/>
      <c r="B121" s="2011"/>
      <c r="C121" s="570"/>
      <c r="D121" s="564"/>
      <c r="E121" s="662"/>
      <c r="F121" s="564"/>
      <c r="G121" s="638">
        <v>1500000</v>
      </c>
      <c r="H121" s="547">
        <v>43341</v>
      </c>
      <c r="I121" s="662"/>
      <c r="J121" s="694"/>
    </row>
    <row r="122" spans="1:10">
      <c r="A122" s="467"/>
      <c r="B122" s="652"/>
      <c r="C122" s="564"/>
      <c r="D122" s="564"/>
      <c r="E122" s="564"/>
      <c r="F122" s="564"/>
      <c r="G122" s="564"/>
      <c r="H122" s="547"/>
      <c r="I122" s="564"/>
      <c r="J122" s="695"/>
    </row>
    <row r="123" spans="1:10">
      <c r="A123" s="555"/>
      <c r="B123" s="556"/>
      <c r="C123" s="556"/>
      <c r="D123" s="557"/>
      <c r="E123" s="556"/>
      <c r="F123" s="557"/>
      <c r="G123" s="557"/>
      <c r="H123" s="556"/>
      <c r="I123" s="673"/>
      <c r="J123" s="674"/>
    </row>
    <row r="124" spans="1:10" ht="31.5">
      <c r="A124" s="664" t="s">
        <v>1042</v>
      </c>
      <c r="B124" s="537" t="s">
        <v>1043</v>
      </c>
      <c r="C124" s="538" t="s">
        <v>1044</v>
      </c>
      <c r="D124" s="636">
        <f>SUM(D125:D126)</f>
        <v>52171700</v>
      </c>
      <c r="E124" s="636"/>
      <c r="F124" s="636">
        <f>SUM(F125:F126)</f>
        <v>15994400</v>
      </c>
      <c r="G124" s="636">
        <f>SUM(G125:G126)</f>
        <v>15994400</v>
      </c>
      <c r="H124" s="636"/>
      <c r="I124" s="636">
        <f>SUM(I125:I126)</f>
        <v>36177300</v>
      </c>
      <c r="J124" s="619" t="s">
        <v>963</v>
      </c>
    </row>
    <row r="125" spans="1:10" ht="31.5">
      <c r="A125" s="665">
        <v>54</v>
      </c>
      <c r="B125" s="593" t="s">
        <v>1045</v>
      </c>
      <c r="C125" s="593" t="s">
        <v>1038</v>
      </c>
      <c r="D125" s="666">
        <v>36177300</v>
      </c>
      <c r="E125" s="593"/>
      <c r="F125" s="667">
        <f>+G125</f>
        <v>0</v>
      </c>
      <c r="G125" s="666">
        <v>0</v>
      </c>
      <c r="H125" s="668"/>
      <c r="I125" s="696">
        <f>+D125-F125</f>
        <v>36177300</v>
      </c>
      <c r="J125" s="697" t="s">
        <v>974</v>
      </c>
    </row>
    <row r="126" spans="1:10" ht="47.25">
      <c r="A126" s="669">
        <v>55</v>
      </c>
      <c r="B126" s="670" t="s">
        <v>1046</v>
      </c>
      <c r="C126" s="593" t="s">
        <v>1047</v>
      </c>
      <c r="D126" s="671">
        <v>15994400</v>
      </c>
      <c r="E126" s="672"/>
      <c r="F126" s="667">
        <f>+G126</f>
        <v>15994400</v>
      </c>
      <c r="G126" s="638">
        <v>15994400</v>
      </c>
      <c r="H126" s="668">
        <v>43384</v>
      </c>
      <c r="I126" s="696">
        <f>+D126-F126</f>
        <v>0</v>
      </c>
      <c r="J126" s="698" t="s">
        <v>914</v>
      </c>
    </row>
    <row r="127" spans="1:10">
      <c r="A127" s="555"/>
      <c r="B127" s="556"/>
      <c r="C127" s="556"/>
      <c r="D127" s="557"/>
      <c r="E127" s="556"/>
      <c r="F127" s="557"/>
      <c r="G127" s="557"/>
      <c r="H127" s="556"/>
      <c r="I127" s="673"/>
      <c r="J127" s="674"/>
    </row>
    <row r="128" spans="1:10" ht="31.5">
      <c r="A128" s="664" t="s">
        <v>1048</v>
      </c>
      <c r="B128" s="537" t="s">
        <v>1049</v>
      </c>
      <c r="C128" s="538" t="s">
        <v>1050</v>
      </c>
      <c r="D128" s="636">
        <f>SUM(D129:D133)</f>
        <v>7825000</v>
      </c>
      <c r="E128" s="636"/>
      <c r="F128" s="636">
        <f>SUM(F129:F133)</f>
        <v>0</v>
      </c>
      <c r="G128" s="636">
        <f>SUM(G129:G133)</f>
        <v>0</v>
      </c>
      <c r="H128" s="636">
        <f>SUM(H129:H133)</f>
        <v>0</v>
      </c>
      <c r="I128" s="636">
        <f>SUM(I129:I133)</f>
        <v>7825000</v>
      </c>
      <c r="J128" s="619" t="s">
        <v>963</v>
      </c>
    </row>
    <row r="129" spans="1:10" ht="47.25">
      <c r="A129" s="555">
        <v>56</v>
      </c>
      <c r="B129" s="670" t="s">
        <v>1051</v>
      </c>
      <c r="C129" s="566" t="s">
        <v>1019</v>
      </c>
      <c r="D129" s="638">
        <v>4030000</v>
      </c>
      <c r="E129" s="699"/>
      <c r="F129" s="700">
        <f>+G129</f>
        <v>0</v>
      </c>
      <c r="G129" s="700">
        <v>0</v>
      </c>
      <c r="H129" s="701"/>
      <c r="I129" s="718">
        <f>+D129-F129</f>
        <v>4030000</v>
      </c>
      <c r="J129" s="697" t="s">
        <v>974</v>
      </c>
    </row>
    <row r="130" spans="1:10" ht="47.25">
      <c r="A130" s="555">
        <v>57</v>
      </c>
      <c r="B130" s="670" t="s">
        <v>1052</v>
      </c>
      <c r="C130" s="566" t="s">
        <v>1019</v>
      </c>
      <c r="D130" s="638">
        <v>200000</v>
      </c>
      <c r="E130" s="699"/>
      <c r="F130" s="700">
        <f>+G130</f>
        <v>0</v>
      </c>
      <c r="G130" s="700">
        <v>0</v>
      </c>
      <c r="H130" s="701"/>
      <c r="I130" s="718">
        <f>+D130-F130</f>
        <v>200000</v>
      </c>
      <c r="J130" s="697" t="s">
        <v>974</v>
      </c>
    </row>
    <row r="131" spans="1:10" ht="47.25">
      <c r="A131" s="642">
        <v>58</v>
      </c>
      <c r="B131" s="702" t="s">
        <v>1053</v>
      </c>
      <c r="C131" s="644" t="s">
        <v>1038</v>
      </c>
      <c r="D131" s="645">
        <v>1155000</v>
      </c>
      <c r="E131" s="703"/>
      <c r="F131" s="704">
        <f>+G131</f>
        <v>0</v>
      </c>
      <c r="G131" s="704">
        <v>0</v>
      </c>
      <c r="H131" s="705"/>
      <c r="I131" s="751">
        <f>+D131-F131</f>
        <v>1155000</v>
      </c>
      <c r="J131" s="752" t="s">
        <v>974</v>
      </c>
    </row>
    <row r="132" spans="1:10" ht="47.25">
      <c r="A132" s="586">
        <v>59</v>
      </c>
      <c r="B132" s="706" t="s">
        <v>1054</v>
      </c>
      <c r="C132" s="588" t="s">
        <v>1038</v>
      </c>
      <c r="D132" s="649">
        <v>1250000</v>
      </c>
      <c r="E132" s="707"/>
      <c r="F132" s="708">
        <f>+G132</f>
        <v>0</v>
      </c>
      <c r="G132" s="708">
        <v>0</v>
      </c>
      <c r="H132" s="709"/>
      <c r="I132" s="753">
        <f>+D132-F132</f>
        <v>1250000</v>
      </c>
      <c r="J132" s="754" t="s">
        <v>974</v>
      </c>
    </row>
    <row r="133" spans="1:10" ht="31.5">
      <c r="A133" s="555">
        <v>60</v>
      </c>
      <c r="B133" s="710" t="s">
        <v>1055</v>
      </c>
      <c r="C133" s="566" t="s">
        <v>1056</v>
      </c>
      <c r="D133" s="638">
        <v>1190000</v>
      </c>
      <c r="E133" s="699"/>
      <c r="F133" s="700">
        <f>+G133</f>
        <v>0</v>
      </c>
      <c r="G133" s="700">
        <v>0</v>
      </c>
      <c r="H133" s="701"/>
      <c r="I133" s="718">
        <f>+D133-F133</f>
        <v>1190000</v>
      </c>
      <c r="J133" s="697" t="s">
        <v>974</v>
      </c>
    </row>
    <row r="134" spans="1:10">
      <c r="A134" s="555"/>
      <c r="B134" s="556"/>
      <c r="C134" s="556"/>
      <c r="D134" s="557"/>
      <c r="E134" s="556"/>
      <c r="F134" s="557"/>
      <c r="G134" s="557"/>
      <c r="H134" s="556"/>
      <c r="I134" s="673"/>
      <c r="J134" s="674"/>
    </row>
    <row r="135" spans="1:10" ht="31.5">
      <c r="A135" s="664" t="s">
        <v>1057</v>
      </c>
      <c r="B135" s="537" t="s">
        <v>1049</v>
      </c>
      <c r="C135" s="538" t="s">
        <v>1058</v>
      </c>
      <c r="D135" s="636">
        <f t="shared" ref="D135:I135" si="5">SUM(D136:D136)</f>
        <v>3250000</v>
      </c>
      <c r="E135" s="636">
        <f t="shared" si="5"/>
        <v>0</v>
      </c>
      <c r="F135" s="636">
        <f t="shared" si="5"/>
        <v>0</v>
      </c>
      <c r="G135" s="636">
        <f t="shared" si="5"/>
        <v>0</v>
      </c>
      <c r="H135" s="636">
        <f t="shared" si="5"/>
        <v>0</v>
      </c>
      <c r="I135" s="636">
        <f t="shared" si="5"/>
        <v>3250000</v>
      </c>
      <c r="J135" s="619" t="s">
        <v>963</v>
      </c>
    </row>
    <row r="136" spans="1:10" ht="47.25">
      <c r="A136" s="555">
        <v>61</v>
      </c>
      <c r="B136" s="591" t="s">
        <v>1059</v>
      </c>
      <c r="C136" s="593" t="s">
        <v>1019</v>
      </c>
      <c r="D136" s="638">
        <v>3250000</v>
      </c>
      <c r="E136" s="699"/>
      <c r="F136" s="700">
        <f>+G136</f>
        <v>0</v>
      </c>
      <c r="G136" s="700">
        <v>0</v>
      </c>
      <c r="H136" s="701"/>
      <c r="I136" s="718">
        <f>+D136-F136</f>
        <v>3250000</v>
      </c>
      <c r="J136" s="697" t="s">
        <v>974</v>
      </c>
    </row>
    <row r="137" spans="1:10">
      <c r="A137" s="555"/>
      <c r="B137" s="556"/>
      <c r="C137" s="556"/>
      <c r="D137" s="557"/>
      <c r="E137" s="556"/>
      <c r="F137" s="557"/>
      <c r="G137" s="557"/>
      <c r="H137" s="556"/>
      <c r="I137" s="673"/>
      <c r="J137" s="674"/>
    </row>
    <row r="138" spans="1:10" ht="31.5">
      <c r="A138" s="664" t="s">
        <v>1060</v>
      </c>
      <c r="B138" s="537" t="s">
        <v>170</v>
      </c>
      <c r="C138" s="538" t="s">
        <v>1061</v>
      </c>
      <c r="D138" s="636">
        <f>SUM(D139:D140)</f>
        <v>5052675</v>
      </c>
      <c r="E138" s="636"/>
      <c r="F138" s="636">
        <f>SUM(F139:F140)</f>
        <v>0</v>
      </c>
      <c r="G138" s="636">
        <f>SUM(G139:G140)</f>
        <v>0</v>
      </c>
      <c r="H138" s="636"/>
      <c r="I138" s="636">
        <f>SUM(I139:I140)</f>
        <v>5052675</v>
      </c>
      <c r="J138" s="619" t="s">
        <v>963</v>
      </c>
    </row>
    <row r="139" spans="1:10" ht="31.5">
      <c r="A139" s="555">
        <v>62</v>
      </c>
      <c r="B139" s="711" t="s">
        <v>1062</v>
      </c>
      <c r="C139" s="566" t="s">
        <v>1063</v>
      </c>
      <c r="D139" s="638">
        <v>3682635</v>
      </c>
      <c r="E139" s="699"/>
      <c r="F139" s="700">
        <f>+G139</f>
        <v>0</v>
      </c>
      <c r="G139" s="700">
        <v>0</v>
      </c>
      <c r="H139" s="701"/>
      <c r="I139" s="718">
        <f>+D139-F139</f>
        <v>3682635</v>
      </c>
      <c r="J139" s="697" t="s">
        <v>974</v>
      </c>
    </row>
    <row r="140" spans="1:10" ht="31.5">
      <c r="A140" s="555">
        <v>63</v>
      </c>
      <c r="B140" s="711" t="s">
        <v>1064</v>
      </c>
      <c r="C140" s="566" t="s">
        <v>1065</v>
      </c>
      <c r="D140" s="638">
        <v>1370040</v>
      </c>
      <c r="E140" s="699"/>
      <c r="F140" s="700">
        <f>+G140</f>
        <v>0</v>
      </c>
      <c r="G140" s="700">
        <v>0</v>
      </c>
      <c r="H140" s="701"/>
      <c r="I140" s="718">
        <f>+D140-F140</f>
        <v>1370040</v>
      </c>
      <c r="J140" s="697" t="s">
        <v>974</v>
      </c>
    </row>
    <row r="141" spans="1:10">
      <c r="A141" s="555"/>
      <c r="B141" s="556"/>
      <c r="C141" s="556"/>
      <c r="D141" s="557"/>
      <c r="E141" s="556"/>
      <c r="F141" s="557"/>
      <c r="G141" s="557"/>
      <c r="H141" s="556"/>
      <c r="I141" s="673"/>
      <c r="J141" s="674"/>
    </row>
    <row r="142" spans="1:10" ht="31.5">
      <c r="A142" s="664" t="s">
        <v>1066</v>
      </c>
      <c r="B142" s="537" t="s">
        <v>1067</v>
      </c>
      <c r="C142" s="538" t="s">
        <v>1068</v>
      </c>
      <c r="D142" s="636">
        <f>SUM(D143:D144)</f>
        <v>13228313.43</v>
      </c>
      <c r="E142" s="636"/>
      <c r="F142" s="636">
        <f>SUM(F143:F144)</f>
        <v>0</v>
      </c>
      <c r="G142" s="636">
        <f>SUM(G143:G144)</f>
        <v>0</v>
      </c>
      <c r="H142" s="636">
        <f>SUM(H143:H144)</f>
        <v>0</v>
      </c>
      <c r="I142" s="636">
        <f>SUM(I143:I145)</f>
        <v>13228313.43</v>
      </c>
      <c r="J142" s="619" t="s">
        <v>963</v>
      </c>
    </row>
    <row r="143" spans="1:10" ht="47.25">
      <c r="A143" s="555">
        <v>64</v>
      </c>
      <c r="B143" s="666" t="s">
        <v>1069</v>
      </c>
      <c r="C143" s="566" t="s">
        <v>1038</v>
      </c>
      <c r="D143" s="632">
        <v>7500000</v>
      </c>
      <c r="E143" s="712"/>
      <c r="F143" s="713">
        <f>+G143</f>
        <v>0</v>
      </c>
      <c r="G143" s="714">
        <v>0</v>
      </c>
      <c r="H143" s="651"/>
      <c r="I143" s="470">
        <f>+D143-F143</f>
        <v>7500000</v>
      </c>
      <c r="J143" s="697" t="s">
        <v>974</v>
      </c>
    </row>
    <row r="144" spans="1:10" ht="31.5">
      <c r="A144" s="715">
        <v>65</v>
      </c>
      <c r="B144" s="716" t="s">
        <v>1070</v>
      </c>
      <c r="C144" s="593" t="s">
        <v>1071</v>
      </c>
      <c r="D144" s="632">
        <v>5728313.4299999997</v>
      </c>
      <c r="E144" s="563"/>
      <c r="F144" s="714">
        <f>+G144</f>
        <v>0</v>
      </c>
      <c r="G144" s="714">
        <v>0</v>
      </c>
      <c r="H144" s="651"/>
      <c r="I144" s="470">
        <f>+D144-F144</f>
        <v>5728313.4299999997</v>
      </c>
      <c r="J144" s="755" t="s">
        <v>974</v>
      </c>
    </row>
    <row r="145" spans="1:10">
      <c r="A145" s="555"/>
      <c r="B145" s="556"/>
      <c r="C145" s="556"/>
      <c r="D145" s="557"/>
      <c r="E145" s="556"/>
      <c r="F145" s="557"/>
      <c r="G145" s="557"/>
      <c r="H145" s="556"/>
      <c r="I145" s="673"/>
      <c r="J145" s="674"/>
    </row>
    <row r="146" spans="1:10" ht="31.5">
      <c r="A146" s="717" t="s">
        <v>1072</v>
      </c>
      <c r="B146" s="537" t="s">
        <v>189</v>
      </c>
      <c r="C146" s="538" t="s">
        <v>1073</v>
      </c>
      <c r="D146" s="636">
        <f>SUM(D147:D149)</f>
        <v>12800000</v>
      </c>
      <c r="E146" s="636"/>
      <c r="F146" s="636">
        <f>SUM(F147:F149)</f>
        <v>0</v>
      </c>
      <c r="G146" s="636">
        <f>SUM(G147:G149)</f>
        <v>0</v>
      </c>
      <c r="H146" s="636">
        <f>SUM(H147:H149)</f>
        <v>0</v>
      </c>
      <c r="I146" s="636">
        <f>SUM(I147:I149)</f>
        <v>12800000</v>
      </c>
      <c r="J146" s="619" t="s">
        <v>963</v>
      </c>
    </row>
    <row r="147" spans="1:10" ht="31.5">
      <c r="A147" s="555">
        <v>66</v>
      </c>
      <c r="B147" s="670" t="s">
        <v>1074</v>
      </c>
      <c r="C147" s="593" t="s">
        <v>1019</v>
      </c>
      <c r="D147" s="638">
        <v>2000000</v>
      </c>
      <c r="E147" s="699"/>
      <c r="F147" s="714">
        <f>+G147</f>
        <v>0</v>
      </c>
      <c r="G147" s="714">
        <v>0</v>
      </c>
      <c r="H147" s="718"/>
      <c r="I147" s="756">
        <f>+D147-F147</f>
        <v>2000000</v>
      </c>
      <c r="J147" s="675" t="s">
        <v>1039</v>
      </c>
    </row>
    <row r="148" spans="1:10" ht="31.5">
      <c r="A148" s="555">
        <v>67</v>
      </c>
      <c r="B148" s="670" t="s">
        <v>1075</v>
      </c>
      <c r="C148" s="593" t="s">
        <v>1038</v>
      </c>
      <c r="D148" s="638">
        <v>5000000</v>
      </c>
      <c r="E148" s="699"/>
      <c r="F148" s="714">
        <f>+G148</f>
        <v>0</v>
      </c>
      <c r="G148" s="714">
        <v>0</v>
      </c>
      <c r="H148" s="718"/>
      <c r="I148" s="756">
        <f>+D148-F148</f>
        <v>5000000</v>
      </c>
      <c r="J148" s="675" t="s">
        <v>1039</v>
      </c>
    </row>
    <row r="149" spans="1:10" ht="31.5">
      <c r="A149" s="555">
        <v>68</v>
      </c>
      <c r="B149" s="670" t="s">
        <v>1076</v>
      </c>
      <c r="C149" s="593" t="s">
        <v>1047</v>
      </c>
      <c r="D149" s="638">
        <v>5800000</v>
      </c>
      <c r="E149" s="699"/>
      <c r="F149" s="699"/>
      <c r="G149" s="699"/>
      <c r="H149" s="699"/>
      <c r="I149" s="756">
        <f>+D149-F149</f>
        <v>5800000</v>
      </c>
      <c r="J149" s="675" t="s">
        <v>1039</v>
      </c>
    </row>
    <row r="150" spans="1:10">
      <c r="A150" s="555"/>
      <c r="B150" s="556"/>
      <c r="C150" s="556"/>
      <c r="D150" s="557"/>
      <c r="E150" s="556"/>
      <c r="F150" s="557"/>
      <c r="G150" s="557"/>
      <c r="H150" s="556"/>
      <c r="I150" s="673"/>
      <c r="J150" s="674"/>
    </row>
    <row r="151" spans="1:10" ht="31.5">
      <c r="A151" s="717" t="s">
        <v>1077</v>
      </c>
      <c r="B151" s="537" t="s">
        <v>1078</v>
      </c>
      <c r="C151" s="538" t="s">
        <v>1079</v>
      </c>
      <c r="D151" s="636">
        <f>+D152</f>
        <v>7276300</v>
      </c>
      <c r="E151" s="636">
        <f>+E152</f>
        <v>0</v>
      </c>
      <c r="F151" s="636">
        <f>+F152</f>
        <v>0</v>
      </c>
      <c r="G151" s="636">
        <f>+G152</f>
        <v>0</v>
      </c>
      <c r="H151" s="636"/>
      <c r="I151" s="636">
        <f>+I152</f>
        <v>7276300</v>
      </c>
      <c r="J151" s="757" t="s">
        <v>957</v>
      </c>
    </row>
    <row r="152" spans="1:10" ht="47.25">
      <c r="A152" s="555">
        <v>69</v>
      </c>
      <c r="B152" s="670" t="s">
        <v>1080</v>
      </c>
      <c r="C152" s="593" t="s">
        <v>1038</v>
      </c>
      <c r="D152" s="638">
        <v>7276300</v>
      </c>
      <c r="E152" s="714"/>
      <c r="F152" s="638">
        <f>+G152</f>
        <v>0</v>
      </c>
      <c r="G152" s="638"/>
      <c r="H152" s="547"/>
      <c r="I152" s="756">
        <f>+D152-F152</f>
        <v>7276300</v>
      </c>
      <c r="J152" s="675" t="s">
        <v>1081</v>
      </c>
    </row>
    <row r="153" spans="1:10">
      <c r="A153" s="555"/>
      <c r="B153" s="556"/>
      <c r="C153" s="556"/>
      <c r="D153" s="557"/>
      <c r="E153" s="556"/>
      <c r="F153" s="557"/>
      <c r="G153" s="557"/>
      <c r="H153" s="556"/>
      <c r="I153" s="673"/>
      <c r="J153" s="674"/>
    </row>
    <row r="154" spans="1:10" ht="31.5">
      <c r="A154" s="717" t="s">
        <v>1082</v>
      </c>
      <c r="B154" s="537" t="s">
        <v>1083</v>
      </c>
      <c r="C154" s="538" t="s">
        <v>1084</v>
      </c>
      <c r="D154" s="636">
        <f t="shared" ref="D154:I154" si="6">SUM(D155:D161)</f>
        <v>38917112</v>
      </c>
      <c r="E154" s="636">
        <f t="shared" si="6"/>
        <v>0</v>
      </c>
      <c r="F154" s="636">
        <f t="shared" si="6"/>
        <v>0</v>
      </c>
      <c r="G154" s="636">
        <f t="shared" si="6"/>
        <v>0</v>
      </c>
      <c r="H154" s="636">
        <f t="shared" si="6"/>
        <v>0</v>
      </c>
      <c r="I154" s="636">
        <f t="shared" si="6"/>
        <v>38917112</v>
      </c>
      <c r="J154" s="619" t="s">
        <v>963</v>
      </c>
    </row>
    <row r="155" spans="1:10" ht="47.25">
      <c r="A155" s="719">
        <v>70</v>
      </c>
      <c r="B155" s="702" t="s">
        <v>1085</v>
      </c>
      <c r="C155" s="644" t="s">
        <v>1071</v>
      </c>
      <c r="D155" s="720">
        <f>SUM(C156:C158)</f>
        <v>16989983</v>
      </c>
      <c r="E155" s="720"/>
      <c r="F155" s="720"/>
      <c r="G155" s="720"/>
      <c r="H155" s="720"/>
      <c r="I155" s="758"/>
      <c r="J155" s="759"/>
    </row>
    <row r="156" spans="1:10" ht="47.25">
      <c r="A156" s="721"/>
      <c r="B156" s="706" t="s">
        <v>1086</v>
      </c>
      <c r="C156" s="722">
        <v>9240000</v>
      </c>
      <c r="D156" s="723"/>
      <c r="E156" s="723" t="s">
        <v>1087</v>
      </c>
      <c r="F156" s="649">
        <f>+G156</f>
        <v>0</v>
      </c>
      <c r="G156" s="649">
        <v>0</v>
      </c>
      <c r="H156" s="590"/>
      <c r="I156" s="760">
        <f>+C156-F156</f>
        <v>9240000</v>
      </c>
      <c r="J156" s="761" t="s">
        <v>1039</v>
      </c>
    </row>
    <row r="157" spans="1:10" ht="47.25">
      <c r="A157" s="724"/>
      <c r="B157" s="670" t="s">
        <v>1088</v>
      </c>
      <c r="C157" s="725">
        <v>2156583</v>
      </c>
      <c r="D157" s="636"/>
      <c r="E157" s="636" t="s">
        <v>1089</v>
      </c>
      <c r="F157" s="638">
        <f>+G157</f>
        <v>0</v>
      </c>
      <c r="G157" s="638">
        <v>0</v>
      </c>
      <c r="H157" s="547"/>
      <c r="I157" s="632">
        <f>+C157-F157</f>
        <v>2156583</v>
      </c>
      <c r="J157" s="675" t="s">
        <v>1039</v>
      </c>
    </row>
    <row r="158" spans="1:10" ht="47.25">
      <c r="A158" s="724"/>
      <c r="B158" s="670" t="s">
        <v>1090</v>
      </c>
      <c r="C158" s="725">
        <f>4607400+336000+650000</f>
        <v>5593400</v>
      </c>
      <c r="D158" s="636"/>
      <c r="E158" s="636" t="s">
        <v>1091</v>
      </c>
      <c r="F158" s="638">
        <f>+G158</f>
        <v>0</v>
      </c>
      <c r="G158" s="638">
        <v>0</v>
      </c>
      <c r="H158" s="547"/>
      <c r="I158" s="632">
        <f>+C158-F158</f>
        <v>5593400</v>
      </c>
      <c r="J158" s="675" t="s">
        <v>1039</v>
      </c>
    </row>
    <row r="159" spans="1:10" ht="31.5">
      <c r="A159" s="724">
        <v>71</v>
      </c>
      <c r="B159" s="661" t="s">
        <v>1092</v>
      </c>
      <c r="C159" s="593" t="s">
        <v>1041</v>
      </c>
      <c r="D159" s="636">
        <f>+C160+C161</f>
        <v>21927129</v>
      </c>
      <c r="E159" s="636"/>
      <c r="F159" s="636"/>
      <c r="G159" s="636"/>
      <c r="H159" s="636"/>
      <c r="I159" s="762"/>
      <c r="J159" s="763"/>
    </row>
    <row r="160" spans="1:10" ht="31.5">
      <c r="A160" s="555"/>
      <c r="B160" s="670" t="s">
        <v>1093</v>
      </c>
      <c r="C160" s="638">
        <v>19260000</v>
      </c>
      <c r="D160" s="638"/>
      <c r="E160" s="714" t="s">
        <v>1094</v>
      </c>
      <c r="F160" s="638">
        <f>+G160</f>
        <v>0</v>
      </c>
      <c r="G160" s="638">
        <v>0</v>
      </c>
      <c r="H160" s="547"/>
      <c r="I160" s="632">
        <f>+C160-F160</f>
        <v>19260000</v>
      </c>
      <c r="J160" s="675" t="s">
        <v>1039</v>
      </c>
    </row>
    <row r="161" spans="1:10" ht="31.5">
      <c r="A161" s="555"/>
      <c r="B161" s="670" t="s">
        <v>1095</v>
      </c>
      <c r="C161" s="638">
        <f>443713+1993407+230008.5+0.5</f>
        <v>2667129</v>
      </c>
      <c r="D161" s="638"/>
      <c r="E161" s="636" t="s">
        <v>1091</v>
      </c>
      <c r="F161" s="638">
        <f>+G161</f>
        <v>0</v>
      </c>
      <c r="G161" s="638">
        <v>0</v>
      </c>
      <c r="H161" s="547"/>
      <c r="I161" s="632">
        <f>+C161-F161</f>
        <v>2667129</v>
      </c>
      <c r="J161" s="675" t="s">
        <v>1039</v>
      </c>
    </row>
    <row r="162" spans="1:10">
      <c r="A162" s="555"/>
      <c r="B162" s="556"/>
      <c r="C162" s="556"/>
      <c r="D162" s="557"/>
      <c r="E162" s="556"/>
      <c r="F162" s="557"/>
      <c r="G162" s="557"/>
      <c r="H162" s="556"/>
      <c r="I162" s="673"/>
      <c r="J162" s="674"/>
    </row>
    <row r="163" spans="1:10" ht="31.5">
      <c r="A163" s="717" t="s">
        <v>1096</v>
      </c>
      <c r="B163" s="537" t="s">
        <v>1097</v>
      </c>
      <c r="C163" s="538" t="s">
        <v>1098</v>
      </c>
      <c r="D163" s="636">
        <f t="shared" ref="D163:I163" si="7">SUM(D164:D168)</f>
        <v>16682858.550000001</v>
      </c>
      <c r="E163" s="636">
        <f t="shared" si="7"/>
        <v>0</v>
      </c>
      <c r="F163" s="636">
        <f t="shared" si="7"/>
        <v>0</v>
      </c>
      <c r="G163" s="636">
        <f t="shared" si="7"/>
        <v>0</v>
      </c>
      <c r="H163" s="636">
        <f t="shared" si="7"/>
        <v>0</v>
      </c>
      <c r="I163" s="636">
        <f t="shared" si="7"/>
        <v>16682858.550000001</v>
      </c>
      <c r="J163" s="619" t="s">
        <v>963</v>
      </c>
    </row>
    <row r="164" spans="1:10" ht="63">
      <c r="A164" s="555">
        <v>72</v>
      </c>
      <c r="B164" s="661" t="s">
        <v>1099</v>
      </c>
      <c r="C164" s="593" t="s">
        <v>1015</v>
      </c>
      <c r="D164" s="638">
        <v>1090351.6000000001</v>
      </c>
      <c r="E164" s="714"/>
      <c r="F164" s="714">
        <f>+G164</f>
        <v>0</v>
      </c>
      <c r="G164" s="714">
        <v>0</v>
      </c>
      <c r="H164" s="547"/>
      <c r="I164" s="756">
        <f>+D164-F164</f>
        <v>1090351.6000000001</v>
      </c>
      <c r="J164" s="675" t="s">
        <v>1100</v>
      </c>
    </row>
    <row r="165" spans="1:10" ht="63">
      <c r="A165" s="555">
        <v>73</v>
      </c>
      <c r="B165" s="670" t="s">
        <v>1101</v>
      </c>
      <c r="C165" s="593" t="s">
        <v>1019</v>
      </c>
      <c r="D165" s="638">
        <v>2258631</v>
      </c>
      <c r="E165" s="699"/>
      <c r="F165" s="714">
        <f>+G165</f>
        <v>0</v>
      </c>
      <c r="G165" s="714">
        <v>0</v>
      </c>
      <c r="H165" s="718"/>
      <c r="I165" s="756">
        <f>+D165-F165</f>
        <v>2258631</v>
      </c>
      <c r="J165" s="675" t="s">
        <v>1100</v>
      </c>
    </row>
    <row r="166" spans="1:10" ht="63">
      <c r="A166" s="555">
        <v>74</v>
      </c>
      <c r="B166" s="670" t="s">
        <v>1102</v>
      </c>
      <c r="C166" s="593" t="s">
        <v>1019</v>
      </c>
      <c r="D166" s="638">
        <v>2524637</v>
      </c>
      <c r="E166" s="699"/>
      <c r="F166" s="714">
        <f>+G166</f>
        <v>0</v>
      </c>
      <c r="G166" s="714">
        <v>0</v>
      </c>
      <c r="H166" s="718"/>
      <c r="I166" s="756">
        <f>+D166-F166</f>
        <v>2524637</v>
      </c>
      <c r="J166" s="675" t="s">
        <v>1100</v>
      </c>
    </row>
    <row r="167" spans="1:10" ht="63">
      <c r="A167" s="555">
        <v>75</v>
      </c>
      <c r="B167" s="670" t="s">
        <v>1103</v>
      </c>
      <c r="C167" s="593" t="s">
        <v>1041</v>
      </c>
      <c r="D167" s="638">
        <v>3402330</v>
      </c>
      <c r="E167" s="699"/>
      <c r="F167" s="714">
        <f>+G167</f>
        <v>0</v>
      </c>
      <c r="G167" s="699"/>
      <c r="H167" s="699"/>
      <c r="I167" s="756">
        <f>+D167-F167</f>
        <v>3402330</v>
      </c>
      <c r="J167" s="675" t="s">
        <v>1100</v>
      </c>
    </row>
    <row r="168" spans="1:10" ht="63">
      <c r="A168" s="555">
        <v>76</v>
      </c>
      <c r="B168" s="670" t="s">
        <v>1104</v>
      </c>
      <c r="C168" s="593" t="s">
        <v>1105</v>
      </c>
      <c r="D168" s="638">
        <v>7406908.9500000002</v>
      </c>
      <c r="E168" s="699"/>
      <c r="F168" s="714">
        <f>+G168</f>
        <v>0</v>
      </c>
      <c r="G168" s="699"/>
      <c r="H168" s="699"/>
      <c r="I168" s="756">
        <f>+D168-F168</f>
        <v>7406908.9500000002</v>
      </c>
      <c r="J168" s="764"/>
    </row>
    <row r="169" spans="1:10">
      <c r="A169" s="555"/>
      <c r="B169" s="556"/>
      <c r="C169" s="556"/>
      <c r="D169" s="557"/>
      <c r="E169" s="556"/>
      <c r="F169" s="557"/>
      <c r="G169" s="557"/>
      <c r="H169" s="556"/>
      <c r="I169" s="673"/>
      <c r="J169" s="674"/>
    </row>
    <row r="170" spans="1:10">
      <c r="A170" s="726" t="s">
        <v>1106</v>
      </c>
      <c r="B170" s="538" t="s">
        <v>1107</v>
      </c>
      <c r="C170" s="727"/>
      <c r="D170" s="728">
        <f>SUM(D38:D168)/2</f>
        <v>546659560.71000004</v>
      </c>
      <c r="E170" s="728">
        <f>SUM(E38:E168)/2</f>
        <v>0</v>
      </c>
      <c r="F170" s="728">
        <f>SUM(F38:F168)/2</f>
        <v>397779801.73000002</v>
      </c>
      <c r="G170" s="728">
        <f>SUM(G38:G168)/2</f>
        <v>397779801.73000002</v>
      </c>
      <c r="H170" s="728"/>
      <c r="I170" s="728">
        <f>SUM(I38:I168)/2</f>
        <v>168180558.97999999</v>
      </c>
      <c r="J170" s="765"/>
    </row>
    <row r="171" spans="1:10" ht="16.5">
      <c r="A171" s="729"/>
      <c r="B171" s="730"/>
      <c r="C171" s="730"/>
      <c r="D171" s="731"/>
      <c r="E171" s="732"/>
      <c r="F171" s="731"/>
      <c r="G171" s="731"/>
      <c r="H171" s="733"/>
      <c r="I171" s="766"/>
      <c r="J171" s="767"/>
    </row>
    <row r="172" spans="1:10" ht="31.5">
      <c r="A172" s="734" t="s">
        <v>937</v>
      </c>
      <c r="B172" s="735"/>
      <c r="C172" s="538" t="s">
        <v>1108</v>
      </c>
      <c r="D172" s="736"/>
      <c r="E172" s="737"/>
      <c r="F172" s="736"/>
      <c r="G172" s="738"/>
      <c r="H172" s="738"/>
      <c r="I172" s="768"/>
      <c r="J172" s="769"/>
    </row>
    <row r="173" spans="1:10" ht="15.6" customHeight="1">
      <c r="A173" s="739">
        <v>1</v>
      </c>
      <c r="B173" s="1999" t="s">
        <v>1109</v>
      </c>
      <c r="C173" s="591" t="s">
        <v>1110</v>
      </c>
      <c r="D173" s="660">
        <v>93430000</v>
      </c>
      <c r="E173" s="541" t="s">
        <v>1111</v>
      </c>
      <c r="F173" s="591">
        <f>+G173</f>
        <v>93430000</v>
      </c>
      <c r="G173" s="660">
        <v>93430000</v>
      </c>
      <c r="H173" s="1500" t="s">
        <v>1112</v>
      </c>
      <c r="I173" s="770">
        <f>+D173-F173</f>
        <v>0</v>
      </c>
      <c r="J173" s="621" t="s">
        <v>914</v>
      </c>
    </row>
    <row r="174" spans="1:10" ht="31.5">
      <c r="A174" s="741"/>
      <c r="B174" s="2001"/>
      <c r="C174" s="591" t="s">
        <v>1113</v>
      </c>
      <c r="D174" s="660">
        <v>25350000</v>
      </c>
      <c r="E174" s="591"/>
      <c r="F174" s="591">
        <f>+G174</f>
        <v>25350000</v>
      </c>
      <c r="G174" s="660">
        <v>25350000</v>
      </c>
      <c r="H174" s="1500" t="s">
        <v>1112</v>
      </c>
      <c r="I174" s="770">
        <f>+D174-F174</f>
        <v>0</v>
      </c>
      <c r="J174" s="771" t="s">
        <v>914</v>
      </c>
    </row>
    <row r="175" spans="1:10" ht="63">
      <c r="A175" s="741">
        <v>2</v>
      </c>
      <c r="B175" s="591" t="s">
        <v>1114</v>
      </c>
      <c r="C175" s="591"/>
      <c r="D175" s="660">
        <v>45244700</v>
      </c>
      <c r="E175" s="591" t="s">
        <v>88</v>
      </c>
      <c r="F175" s="591">
        <f>+G175</f>
        <v>5000000</v>
      </c>
      <c r="G175" s="716">
        <v>5000000</v>
      </c>
      <c r="H175" s="1500" t="s">
        <v>1115</v>
      </c>
      <c r="I175" s="770">
        <f>+D175-F175</f>
        <v>40244700</v>
      </c>
      <c r="J175" s="772" t="s">
        <v>974</v>
      </c>
    </row>
    <row r="176" spans="1:10" ht="63">
      <c r="A176" s="665">
        <v>3</v>
      </c>
      <c r="B176" s="667" t="s">
        <v>1116</v>
      </c>
      <c r="C176" s="667"/>
      <c r="D176" s="716">
        <v>92799100</v>
      </c>
      <c r="E176" s="667" t="s">
        <v>1117</v>
      </c>
      <c r="F176" s="666">
        <f>+G176</f>
        <v>5000000</v>
      </c>
      <c r="G176" s="716">
        <v>5000000</v>
      </c>
      <c r="H176" s="1500" t="s">
        <v>1115</v>
      </c>
      <c r="I176" s="716">
        <f>+D176-F176</f>
        <v>87799100</v>
      </c>
      <c r="J176" s="772" t="s">
        <v>974</v>
      </c>
    </row>
    <row r="177" spans="1:10" ht="15.6" customHeight="1">
      <c r="A177" s="669">
        <v>4</v>
      </c>
      <c r="B177" s="1999" t="s">
        <v>1118</v>
      </c>
      <c r="C177" s="549"/>
      <c r="D177" s="655">
        <v>30168000</v>
      </c>
      <c r="E177" s="742"/>
      <c r="F177" s="743">
        <f>SUM(G177:G178)</f>
        <v>30168000</v>
      </c>
      <c r="G177" s="716">
        <v>2168000</v>
      </c>
      <c r="H177" s="740">
        <v>42866</v>
      </c>
      <c r="I177" s="655">
        <f>+D177-F177</f>
        <v>0</v>
      </c>
      <c r="J177" s="614" t="s">
        <v>914</v>
      </c>
    </row>
    <row r="178" spans="1:10" ht="16.5">
      <c r="A178" s="741"/>
      <c r="B178" s="2000"/>
      <c r="C178" s="591"/>
      <c r="D178" s="660"/>
      <c r="E178" s="744"/>
      <c r="F178" s="745"/>
      <c r="G178" s="660">
        <v>28000000</v>
      </c>
      <c r="H178" s="746">
        <v>42866</v>
      </c>
      <c r="I178" s="660"/>
      <c r="J178" s="772"/>
    </row>
    <row r="179" spans="1:10" ht="31.5">
      <c r="A179" s="2035">
        <v>5</v>
      </c>
      <c r="B179" s="1997" t="s">
        <v>1119</v>
      </c>
      <c r="C179" s="747" t="s">
        <v>1120</v>
      </c>
      <c r="D179" s="655">
        <v>72527000</v>
      </c>
      <c r="E179" s="742"/>
      <c r="F179" s="743">
        <f>+G179+G180</f>
        <v>72527000</v>
      </c>
      <c r="G179" s="660">
        <v>66015000</v>
      </c>
      <c r="H179" s="740">
        <v>42922</v>
      </c>
      <c r="I179" s="655">
        <f>+D179-F179</f>
        <v>0</v>
      </c>
      <c r="J179" s="2042" t="s">
        <v>914</v>
      </c>
    </row>
    <row r="180" spans="1:10" ht="31.5">
      <c r="A180" s="2036"/>
      <c r="B180" s="1998"/>
      <c r="C180" s="747" t="s">
        <v>1121</v>
      </c>
      <c r="D180" s="660"/>
      <c r="E180" s="744"/>
      <c r="F180" s="745"/>
      <c r="G180" s="660">
        <v>6512000</v>
      </c>
      <c r="H180" s="740">
        <v>42932</v>
      </c>
      <c r="I180" s="660"/>
      <c r="J180" s="2043"/>
    </row>
    <row r="181" spans="1:10">
      <c r="A181" s="2035">
        <v>6</v>
      </c>
      <c r="B181" s="1997" t="s">
        <v>1122</v>
      </c>
      <c r="C181" s="541">
        <f>SUM(D181:D202)</f>
        <v>800710000</v>
      </c>
      <c r="D181" s="653">
        <v>7016000</v>
      </c>
      <c r="E181" s="541" t="s">
        <v>1123</v>
      </c>
      <c r="F181" s="748">
        <f>G181+G182</f>
        <v>7023048.7300000004</v>
      </c>
      <c r="G181" s="716">
        <v>10000</v>
      </c>
      <c r="H181" s="740">
        <v>43225</v>
      </c>
      <c r="I181" s="653">
        <f>+D181-F181+7048.73</f>
        <v>-4.47471393272281E-10</v>
      </c>
      <c r="J181" s="2044"/>
    </row>
    <row r="182" spans="1:10">
      <c r="A182" s="2037"/>
      <c r="B182" s="1998"/>
      <c r="C182" s="549"/>
      <c r="D182" s="749"/>
      <c r="E182" s="591"/>
      <c r="F182" s="591"/>
      <c r="G182" s="716">
        <v>7013048.7300000004</v>
      </c>
      <c r="H182" s="740">
        <v>43234</v>
      </c>
      <c r="I182" s="660"/>
      <c r="J182" s="2045"/>
    </row>
    <row r="183" spans="1:10">
      <c r="A183" s="2037"/>
      <c r="B183" s="1998"/>
      <c r="C183" s="549"/>
      <c r="D183" s="716">
        <v>48124000</v>
      </c>
      <c r="E183" s="667" t="s">
        <v>1124</v>
      </c>
      <c r="F183" s="745">
        <f t="shared" ref="F183:F200" si="8">SUM(G183)</f>
        <v>48124000</v>
      </c>
      <c r="G183" s="716">
        <v>48124000</v>
      </c>
      <c r="H183" s="740">
        <v>43234</v>
      </c>
      <c r="I183" s="660">
        <f>+D183-F183</f>
        <v>0</v>
      </c>
      <c r="J183" s="773" t="s">
        <v>914</v>
      </c>
    </row>
    <row r="184" spans="1:10">
      <c r="A184" s="2037"/>
      <c r="B184" s="549"/>
      <c r="C184" s="549"/>
      <c r="D184" s="716">
        <v>8548000</v>
      </c>
      <c r="E184" s="667" t="s">
        <v>1125</v>
      </c>
      <c r="F184" s="750">
        <f>G184</f>
        <v>8548000</v>
      </c>
      <c r="G184" s="716">
        <v>8548000</v>
      </c>
      <c r="H184" s="740">
        <v>43234</v>
      </c>
      <c r="I184" s="660">
        <f t="shared" ref="I184:I211" si="9">+D184-F184</f>
        <v>0</v>
      </c>
      <c r="J184" s="773" t="s">
        <v>914</v>
      </c>
    </row>
    <row r="185" spans="1:10">
      <c r="A185" s="2037"/>
      <c r="B185" s="549"/>
      <c r="C185" s="549"/>
      <c r="D185" s="716">
        <v>12185000</v>
      </c>
      <c r="E185" s="667" t="s">
        <v>1126</v>
      </c>
      <c r="F185" s="750">
        <f>G185</f>
        <v>12185000</v>
      </c>
      <c r="G185" s="716">
        <v>12185000</v>
      </c>
      <c r="H185" s="740">
        <v>43600</v>
      </c>
      <c r="I185" s="660">
        <f t="shared" si="9"/>
        <v>0</v>
      </c>
      <c r="J185" s="773" t="s">
        <v>914</v>
      </c>
    </row>
    <row r="186" spans="1:10">
      <c r="A186" s="2037"/>
      <c r="B186" s="549"/>
      <c r="C186" s="549"/>
      <c r="D186" s="660">
        <v>37257000</v>
      </c>
      <c r="E186" s="591" t="s">
        <v>1127</v>
      </c>
      <c r="F186" s="745">
        <f>SUM(G186)</f>
        <v>37257000</v>
      </c>
      <c r="G186" s="660">
        <v>37257000</v>
      </c>
      <c r="H186" s="740">
        <v>43287</v>
      </c>
      <c r="I186" s="660">
        <f t="shared" si="9"/>
        <v>0</v>
      </c>
      <c r="J186" s="773" t="s">
        <v>914</v>
      </c>
    </row>
    <row r="187" spans="1:10">
      <c r="A187" s="2037"/>
      <c r="B187" s="549"/>
      <c r="C187" s="549"/>
      <c r="D187" s="660">
        <v>122682000</v>
      </c>
      <c r="E187" s="591" t="s">
        <v>1124</v>
      </c>
      <c r="F187" s="745">
        <f>SUM(G187)</f>
        <v>122682000</v>
      </c>
      <c r="G187" s="660">
        <v>122682000</v>
      </c>
      <c r="H187" s="740">
        <v>43287</v>
      </c>
      <c r="I187" s="660">
        <f t="shared" si="9"/>
        <v>0</v>
      </c>
      <c r="J187" s="773" t="s">
        <v>914</v>
      </c>
    </row>
    <row r="188" spans="1:10">
      <c r="A188" s="2037"/>
      <c r="B188" s="549"/>
      <c r="C188" s="549"/>
      <c r="D188" s="660">
        <v>29854000</v>
      </c>
      <c r="E188" s="667" t="s">
        <v>1125</v>
      </c>
      <c r="F188" s="745">
        <f>SUM(G188)</f>
        <v>29854000</v>
      </c>
      <c r="G188" s="660">
        <v>29854000</v>
      </c>
      <c r="H188" s="740">
        <v>43287</v>
      </c>
      <c r="I188" s="660">
        <f t="shared" si="9"/>
        <v>0</v>
      </c>
      <c r="J188" s="773" t="s">
        <v>914</v>
      </c>
    </row>
    <row r="189" spans="1:10">
      <c r="A189" s="2037"/>
      <c r="B189" s="549"/>
      <c r="C189" s="549"/>
      <c r="D189" s="660">
        <v>68881000</v>
      </c>
      <c r="E189" s="591" t="s">
        <v>1128</v>
      </c>
      <c r="F189" s="745">
        <f>SUM(G189)</f>
        <v>68881000</v>
      </c>
      <c r="G189" s="660">
        <v>68881000</v>
      </c>
      <c r="H189" s="740">
        <v>43287</v>
      </c>
      <c r="I189" s="660">
        <f t="shared" si="9"/>
        <v>0</v>
      </c>
      <c r="J189" s="773" t="s">
        <v>914</v>
      </c>
    </row>
    <row r="190" spans="1:10">
      <c r="A190" s="2037"/>
      <c r="B190" s="549"/>
      <c r="C190" s="549"/>
      <c r="D190" s="660">
        <v>24029000</v>
      </c>
      <c r="E190" s="591" t="s">
        <v>1129</v>
      </c>
      <c r="F190" s="745">
        <f>SUM(G190)</f>
        <v>24029000</v>
      </c>
      <c r="G190" s="660">
        <v>24029000</v>
      </c>
      <c r="H190" s="740">
        <v>43291</v>
      </c>
      <c r="I190" s="660">
        <f t="shared" si="9"/>
        <v>0</v>
      </c>
      <c r="J190" s="773" t="s">
        <v>914</v>
      </c>
    </row>
    <row r="191" spans="1:10">
      <c r="A191" s="2037"/>
      <c r="B191" s="549"/>
      <c r="C191" s="549"/>
      <c r="D191" s="716">
        <v>22151000</v>
      </c>
      <c r="E191" s="667" t="s">
        <v>1130</v>
      </c>
      <c r="F191" s="750">
        <f>G191</f>
        <v>22151000</v>
      </c>
      <c r="G191" s="716">
        <v>22151000</v>
      </c>
      <c r="H191" s="740">
        <v>43291</v>
      </c>
      <c r="I191" s="660">
        <f t="shared" si="9"/>
        <v>0</v>
      </c>
      <c r="J191" s="773" t="s">
        <v>914</v>
      </c>
    </row>
    <row r="192" spans="1:10">
      <c r="A192" s="2037"/>
      <c r="B192" s="549"/>
      <c r="C192" s="549"/>
      <c r="D192" s="660">
        <v>73175000</v>
      </c>
      <c r="E192" s="591" t="s">
        <v>1127</v>
      </c>
      <c r="F192" s="745">
        <f t="shared" si="8"/>
        <v>73175000</v>
      </c>
      <c r="G192" s="660">
        <v>73175000</v>
      </c>
      <c r="H192" s="740">
        <v>43292</v>
      </c>
      <c r="I192" s="660">
        <f t="shared" si="9"/>
        <v>0</v>
      </c>
      <c r="J192" s="773" t="s">
        <v>914</v>
      </c>
    </row>
    <row r="193" spans="1:10">
      <c r="A193" s="2037"/>
      <c r="B193" s="549"/>
      <c r="C193" s="549"/>
      <c r="D193" s="660">
        <v>25072000</v>
      </c>
      <c r="E193" s="591" t="s">
        <v>1128</v>
      </c>
      <c r="F193" s="745">
        <f t="shared" si="8"/>
        <v>25072000</v>
      </c>
      <c r="G193" s="660">
        <v>25072000</v>
      </c>
      <c r="H193" s="740">
        <v>43292</v>
      </c>
      <c r="I193" s="660">
        <f t="shared" si="9"/>
        <v>0</v>
      </c>
      <c r="J193" s="773" t="s">
        <v>914</v>
      </c>
    </row>
    <row r="194" spans="1:10">
      <c r="A194" s="2037"/>
      <c r="B194" s="549"/>
      <c r="C194" s="549"/>
      <c r="D194" s="660">
        <v>40223000</v>
      </c>
      <c r="E194" s="591" t="s">
        <v>1124</v>
      </c>
      <c r="F194" s="745">
        <f t="shared" si="8"/>
        <v>40223000</v>
      </c>
      <c r="G194" s="660">
        <v>40223000</v>
      </c>
      <c r="H194" s="740">
        <v>43292</v>
      </c>
      <c r="I194" s="660">
        <f t="shared" si="9"/>
        <v>0</v>
      </c>
      <c r="J194" s="773" t="s">
        <v>914</v>
      </c>
    </row>
    <row r="195" spans="1:10">
      <c r="A195" s="2037"/>
      <c r="B195" s="549"/>
      <c r="C195" s="549"/>
      <c r="D195" s="660">
        <v>20996000</v>
      </c>
      <c r="E195" s="591" t="s">
        <v>1124</v>
      </c>
      <c r="F195" s="745">
        <f t="shared" si="8"/>
        <v>20996000</v>
      </c>
      <c r="G195" s="660">
        <v>20996000</v>
      </c>
      <c r="H195" s="740">
        <v>43292</v>
      </c>
      <c r="I195" s="660">
        <f t="shared" si="9"/>
        <v>0</v>
      </c>
      <c r="J195" s="773" t="s">
        <v>914</v>
      </c>
    </row>
    <row r="196" spans="1:10">
      <c r="A196" s="2037"/>
      <c r="B196" s="549"/>
      <c r="C196" s="549"/>
      <c r="D196" s="660">
        <v>76238000</v>
      </c>
      <c r="E196" s="591" t="s">
        <v>1124</v>
      </c>
      <c r="F196" s="745">
        <f t="shared" si="8"/>
        <v>76238000</v>
      </c>
      <c r="G196" s="660">
        <v>76238000</v>
      </c>
      <c r="H196" s="740">
        <v>43292</v>
      </c>
      <c r="I196" s="660">
        <f t="shared" si="9"/>
        <v>0</v>
      </c>
      <c r="J196" s="773" t="s">
        <v>914</v>
      </c>
    </row>
    <row r="197" spans="1:10">
      <c r="A197" s="2037"/>
      <c r="B197" s="549"/>
      <c r="C197" s="549"/>
      <c r="D197" s="655">
        <v>27030000</v>
      </c>
      <c r="E197" s="549" t="s">
        <v>1124</v>
      </c>
      <c r="F197" s="743">
        <f t="shared" si="8"/>
        <v>27030000</v>
      </c>
      <c r="G197" s="655">
        <v>27030000</v>
      </c>
      <c r="H197" s="774">
        <v>43292</v>
      </c>
      <c r="I197" s="655">
        <f t="shared" si="9"/>
        <v>0</v>
      </c>
      <c r="J197" s="833" t="s">
        <v>914</v>
      </c>
    </row>
    <row r="198" spans="1:10">
      <c r="A198" s="2037"/>
      <c r="B198" s="775"/>
      <c r="C198" s="775"/>
      <c r="D198" s="776">
        <v>23360000</v>
      </c>
      <c r="E198" s="587" t="s">
        <v>1131</v>
      </c>
      <c r="F198" s="777">
        <f t="shared" si="8"/>
        <v>23360000</v>
      </c>
      <c r="G198" s="776">
        <v>23360000</v>
      </c>
      <c r="H198" s="778">
        <v>43297</v>
      </c>
      <c r="I198" s="776">
        <f t="shared" si="9"/>
        <v>0</v>
      </c>
      <c r="J198" s="834" t="s">
        <v>914</v>
      </c>
    </row>
    <row r="199" spans="1:10" ht="15.6" customHeight="1">
      <c r="A199" s="2037"/>
      <c r="B199" s="549"/>
      <c r="C199" s="549"/>
      <c r="D199" s="660">
        <v>54433000</v>
      </c>
      <c r="E199" s="591" t="s">
        <v>1132</v>
      </c>
      <c r="F199" s="745">
        <f t="shared" si="8"/>
        <v>54433000</v>
      </c>
      <c r="G199" s="660">
        <v>54433000</v>
      </c>
      <c r="H199" s="740">
        <v>43298</v>
      </c>
      <c r="I199" s="660">
        <f t="shared" si="9"/>
        <v>0</v>
      </c>
      <c r="J199" s="773" t="s">
        <v>914</v>
      </c>
    </row>
    <row r="200" spans="1:10">
      <c r="A200" s="2037"/>
      <c r="B200" s="549"/>
      <c r="C200" s="549"/>
      <c r="D200" s="716">
        <v>17343000</v>
      </c>
      <c r="E200" s="667" t="s">
        <v>1133</v>
      </c>
      <c r="F200" s="745">
        <f t="shared" si="8"/>
        <v>17343000</v>
      </c>
      <c r="G200" s="716">
        <v>17343000</v>
      </c>
      <c r="H200" s="740">
        <v>43298</v>
      </c>
      <c r="I200" s="660">
        <f t="shared" si="9"/>
        <v>0</v>
      </c>
      <c r="J200" s="773" t="s">
        <v>914</v>
      </c>
    </row>
    <row r="201" spans="1:10">
      <c r="A201" s="2037"/>
      <c r="B201" s="549"/>
      <c r="C201" s="549"/>
      <c r="D201" s="716">
        <v>42026000</v>
      </c>
      <c r="E201" s="667" t="s">
        <v>1134</v>
      </c>
      <c r="F201" s="750">
        <f>G201</f>
        <v>42026000</v>
      </c>
      <c r="G201" s="716">
        <v>42026000</v>
      </c>
      <c r="H201" s="740">
        <v>43243</v>
      </c>
      <c r="I201" s="660">
        <f t="shared" si="9"/>
        <v>0</v>
      </c>
      <c r="J201" s="773" t="s">
        <v>914</v>
      </c>
    </row>
    <row r="202" spans="1:10">
      <c r="A202" s="2036"/>
      <c r="B202" s="591"/>
      <c r="C202" s="591"/>
      <c r="D202" s="660">
        <v>20087000</v>
      </c>
      <c r="E202" s="667" t="s">
        <v>1135</v>
      </c>
      <c r="F202" s="750">
        <f>G202</f>
        <v>20087000</v>
      </c>
      <c r="G202" s="660">
        <v>20087000</v>
      </c>
      <c r="H202" s="779">
        <v>43244</v>
      </c>
      <c r="I202" s="660">
        <f t="shared" si="9"/>
        <v>0</v>
      </c>
      <c r="J202" s="773" t="s">
        <v>914</v>
      </c>
    </row>
    <row r="203" spans="1:10">
      <c r="A203" s="2035">
        <v>7</v>
      </c>
      <c r="B203" s="1999" t="s">
        <v>1136</v>
      </c>
      <c r="C203" s="780">
        <f>SUM(D203:D210)</f>
        <v>434276000</v>
      </c>
      <c r="D203" s="716">
        <v>23203000</v>
      </c>
      <c r="E203" s="591" t="s">
        <v>1124</v>
      </c>
      <c r="F203" s="716">
        <f>+G203</f>
        <v>23203000</v>
      </c>
      <c r="G203" s="716">
        <v>23203000</v>
      </c>
      <c r="H203" s="740">
        <v>43282</v>
      </c>
      <c r="I203" s="660">
        <f t="shared" si="9"/>
        <v>0</v>
      </c>
      <c r="J203" s="773" t="s">
        <v>914</v>
      </c>
    </row>
    <row r="204" spans="1:10">
      <c r="A204" s="2037"/>
      <c r="B204" s="2000"/>
      <c r="C204" s="781"/>
      <c r="D204" s="716">
        <v>72510000</v>
      </c>
      <c r="E204" s="591" t="s">
        <v>1124</v>
      </c>
      <c r="F204" s="716">
        <f t="shared" ref="F204:F210" si="10">+G204</f>
        <v>72510000</v>
      </c>
      <c r="G204" s="716">
        <v>72510000</v>
      </c>
      <c r="H204" s="740">
        <v>43290</v>
      </c>
      <c r="I204" s="660">
        <f t="shared" si="9"/>
        <v>0</v>
      </c>
      <c r="J204" s="773" t="s">
        <v>914</v>
      </c>
    </row>
    <row r="205" spans="1:10">
      <c r="A205" s="2037"/>
      <c r="B205" s="2000"/>
      <c r="C205" s="781"/>
      <c r="D205" s="716">
        <v>22063000</v>
      </c>
      <c r="E205" s="747" t="s">
        <v>1124</v>
      </c>
      <c r="F205" s="716">
        <f t="shared" si="10"/>
        <v>22063000</v>
      </c>
      <c r="G205" s="716">
        <v>22063000</v>
      </c>
      <c r="H205" s="740">
        <v>43292</v>
      </c>
      <c r="I205" s="660">
        <f t="shared" si="9"/>
        <v>0</v>
      </c>
      <c r="J205" s="773" t="s">
        <v>914</v>
      </c>
    </row>
    <row r="206" spans="1:10">
      <c r="A206" s="2037"/>
      <c r="B206" s="2000"/>
      <c r="C206" s="781"/>
      <c r="D206" s="716">
        <v>137165000</v>
      </c>
      <c r="E206" s="747" t="s">
        <v>1128</v>
      </c>
      <c r="F206" s="716">
        <f t="shared" si="10"/>
        <v>137165000</v>
      </c>
      <c r="G206" s="716">
        <v>137165000</v>
      </c>
      <c r="H206" s="740">
        <v>43292</v>
      </c>
      <c r="I206" s="660">
        <f t="shared" si="9"/>
        <v>0</v>
      </c>
      <c r="J206" s="773" t="s">
        <v>914</v>
      </c>
    </row>
    <row r="207" spans="1:10" ht="15.6" customHeight="1">
      <c r="A207" s="2037"/>
      <c r="B207" s="2000"/>
      <c r="C207" s="781"/>
      <c r="D207" s="716">
        <v>29157000</v>
      </c>
      <c r="E207" s="747" t="s">
        <v>1124</v>
      </c>
      <c r="F207" s="716">
        <f t="shared" si="10"/>
        <v>29157000</v>
      </c>
      <c r="G207" s="716">
        <v>29157000</v>
      </c>
      <c r="H207" s="740">
        <v>43292</v>
      </c>
      <c r="I207" s="660">
        <f t="shared" si="9"/>
        <v>0</v>
      </c>
      <c r="J207" s="773" t="s">
        <v>914</v>
      </c>
    </row>
    <row r="208" spans="1:10">
      <c r="A208" s="2037"/>
      <c r="B208" s="2000"/>
      <c r="C208" s="781"/>
      <c r="D208" s="716">
        <v>31972000</v>
      </c>
      <c r="E208" s="747" t="s">
        <v>1124</v>
      </c>
      <c r="F208" s="716">
        <f t="shared" si="10"/>
        <v>31972000</v>
      </c>
      <c r="G208" s="716">
        <v>31972000</v>
      </c>
      <c r="H208" s="740">
        <v>43292</v>
      </c>
      <c r="I208" s="660">
        <f t="shared" si="9"/>
        <v>0</v>
      </c>
      <c r="J208" s="773" t="s">
        <v>914</v>
      </c>
    </row>
    <row r="209" spans="1:10">
      <c r="A209" s="2037"/>
      <c r="B209" s="2000"/>
      <c r="C209" s="782"/>
      <c r="D209" s="716">
        <v>38162000</v>
      </c>
      <c r="E209" s="747" t="s">
        <v>1124</v>
      </c>
      <c r="F209" s="716">
        <f t="shared" si="10"/>
        <v>38162000</v>
      </c>
      <c r="G209" s="716">
        <v>38162000</v>
      </c>
      <c r="H209" s="740">
        <v>43292</v>
      </c>
      <c r="I209" s="660">
        <f t="shared" si="9"/>
        <v>0</v>
      </c>
      <c r="J209" s="773" t="s">
        <v>914</v>
      </c>
    </row>
    <row r="210" spans="1:10">
      <c r="A210" s="2036"/>
      <c r="B210" s="2001"/>
      <c r="C210" s="783"/>
      <c r="D210" s="716">
        <v>80044000</v>
      </c>
      <c r="E210" s="747" t="s">
        <v>1124</v>
      </c>
      <c r="F210" s="716">
        <f t="shared" si="10"/>
        <v>80044000</v>
      </c>
      <c r="G210" s="716">
        <v>80044000</v>
      </c>
      <c r="H210" s="740">
        <v>43298</v>
      </c>
      <c r="I210" s="660">
        <f t="shared" si="9"/>
        <v>0</v>
      </c>
      <c r="J210" s="773" t="s">
        <v>914</v>
      </c>
    </row>
    <row r="211" spans="1:10">
      <c r="A211" s="2035">
        <v>8</v>
      </c>
      <c r="B211" s="1999" t="s">
        <v>1137</v>
      </c>
      <c r="C211" s="784"/>
      <c r="D211" s="653">
        <v>44007000</v>
      </c>
      <c r="E211" s="784" t="s">
        <v>1117</v>
      </c>
      <c r="F211" s="653">
        <f>SUM(G211:G212)</f>
        <v>15000000</v>
      </c>
      <c r="G211" s="660">
        <v>5000000</v>
      </c>
      <c r="H211" s="740">
        <v>43311</v>
      </c>
      <c r="I211" s="653">
        <f t="shared" si="9"/>
        <v>29007000</v>
      </c>
      <c r="J211" s="835" t="s">
        <v>974</v>
      </c>
    </row>
    <row r="212" spans="1:10">
      <c r="A212" s="2036"/>
      <c r="B212" s="2001"/>
      <c r="C212" s="783"/>
      <c r="D212" s="660"/>
      <c r="E212" s="783"/>
      <c r="F212" s="783"/>
      <c r="G212" s="660">
        <v>10000000</v>
      </c>
      <c r="H212" s="740">
        <v>43313</v>
      </c>
      <c r="I212" s="783"/>
      <c r="J212" s="836"/>
    </row>
    <row r="213" spans="1:10" ht="47.25">
      <c r="A213" s="741">
        <v>9</v>
      </c>
      <c r="B213" s="591" t="s">
        <v>1138</v>
      </c>
      <c r="C213" s="783"/>
      <c r="D213" s="660">
        <v>21808710</v>
      </c>
      <c r="E213" s="783" t="s">
        <v>1117</v>
      </c>
      <c r="F213" s="660">
        <f>+G213</f>
        <v>21808710</v>
      </c>
      <c r="G213" s="660">
        <v>21808710</v>
      </c>
      <c r="H213" s="740">
        <v>43308</v>
      </c>
      <c r="I213" s="660">
        <f t="shared" ref="I213:I220" si="11">+D213-F213</f>
        <v>0</v>
      </c>
      <c r="J213" s="837" t="s">
        <v>914</v>
      </c>
    </row>
    <row r="214" spans="1:10" ht="63">
      <c r="A214" s="741">
        <v>10</v>
      </c>
      <c r="B214" s="591" t="s">
        <v>1139</v>
      </c>
      <c r="C214" s="783"/>
      <c r="D214" s="660">
        <v>2429000</v>
      </c>
      <c r="E214" s="783" t="s">
        <v>1140</v>
      </c>
      <c r="F214" s="660">
        <f>+G214</f>
        <v>2429000</v>
      </c>
      <c r="G214" s="660">
        <v>2429000</v>
      </c>
      <c r="H214" s="740">
        <v>43231</v>
      </c>
      <c r="I214" s="660">
        <f t="shared" si="11"/>
        <v>0</v>
      </c>
      <c r="J214" s="837" t="s">
        <v>914</v>
      </c>
    </row>
    <row r="215" spans="1:10" ht="47.25">
      <c r="A215" s="741">
        <v>11</v>
      </c>
      <c r="B215" s="591" t="s">
        <v>1141</v>
      </c>
      <c r="C215" s="783"/>
      <c r="D215" s="660">
        <v>73455000</v>
      </c>
      <c r="E215" s="783" t="s">
        <v>1142</v>
      </c>
      <c r="F215" s="660">
        <f>+G215</f>
        <v>73455000</v>
      </c>
      <c r="G215" s="660">
        <v>73455000</v>
      </c>
      <c r="H215" s="740">
        <v>43231</v>
      </c>
      <c r="I215" s="660">
        <f t="shared" si="11"/>
        <v>0</v>
      </c>
      <c r="J215" s="837" t="s">
        <v>914</v>
      </c>
    </row>
    <row r="216" spans="1:10" ht="47.25">
      <c r="A216" s="741">
        <v>12</v>
      </c>
      <c r="B216" s="591" t="s">
        <v>1143</v>
      </c>
      <c r="C216" s="660"/>
      <c r="D216" s="660">
        <v>105504000</v>
      </c>
      <c r="E216" s="783" t="s">
        <v>1111</v>
      </c>
      <c r="F216" s="660">
        <f>+G216</f>
        <v>105504000</v>
      </c>
      <c r="G216" s="660">
        <v>105504000</v>
      </c>
      <c r="H216" s="740">
        <v>43304</v>
      </c>
      <c r="I216" s="660">
        <f t="shared" si="11"/>
        <v>0</v>
      </c>
      <c r="J216" s="837" t="s">
        <v>914</v>
      </c>
    </row>
    <row r="217" spans="1:10" ht="31.5">
      <c r="A217" s="2035">
        <v>13</v>
      </c>
      <c r="B217" s="1999" t="s">
        <v>1144</v>
      </c>
      <c r="C217" s="653">
        <f>SUM(D217:D218)</f>
        <v>387988000</v>
      </c>
      <c r="D217" s="785">
        <v>19757000</v>
      </c>
      <c r="E217" s="786" t="s">
        <v>1145</v>
      </c>
      <c r="F217" s="785">
        <v>19757000</v>
      </c>
      <c r="G217" s="785">
        <v>19757000</v>
      </c>
      <c r="H217" s="740">
        <v>43304</v>
      </c>
      <c r="I217" s="660">
        <f t="shared" si="11"/>
        <v>0</v>
      </c>
      <c r="J217" s="837" t="s">
        <v>914</v>
      </c>
    </row>
    <row r="218" spans="1:10" ht="47.25">
      <c r="A218" s="2036"/>
      <c r="B218" s="2001"/>
      <c r="C218" s="660"/>
      <c r="D218" s="785">
        <v>368231000</v>
      </c>
      <c r="E218" s="786" t="s">
        <v>1146</v>
      </c>
      <c r="F218" s="787">
        <v>368231000</v>
      </c>
      <c r="G218" s="785">
        <v>368231000</v>
      </c>
      <c r="H218" s="740">
        <v>43304</v>
      </c>
      <c r="I218" s="660">
        <f t="shared" si="11"/>
        <v>0</v>
      </c>
      <c r="J218" s="837" t="s">
        <v>914</v>
      </c>
    </row>
    <row r="219" spans="1:10" ht="47.25">
      <c r="A219" s="741">
        <v>13</v>
      </c>
      <c r="B219" s="591" t="s">
        <v>1147</v>
      </c>
      <c r="C219" s="660"/>
      <c r="D219" s="785">
        <v>598295424</v>
      </c>
      <c r="E219" s="788" t="s">
        <v>1111</v>
      </c>
      <c r="F219" s="785">
        <f>+G219</f>
        <v>34610962</v>
      </c>
      <c r="G219" s="785">
        <v>34610962</v>
      </c>
      <c r="H219" s="740">
        <v>43304</v>
      </c>
      <c r="I219" s="660">
        <f t="shared" si="11"/>
        <v>563684462</v>
      </c>
      <c r="J219" s="838" t="s">
        <v>974</v>
      </c>
    </row>
    <row r="220" spans="1:10" ht="47.25">
      <c r="A220" s="741">
        <v>14</v>
      </c>
      <c r="B220" s="591" t="s">
        <v>1148</v>
      </c>
      <c r="C220" s="660"/>
      <c r="D220" s="785">
        <v>114610000</v>
      </c>
      <c r="E220" s="788" t="s">
        <v>1111</v>
      </c>
      <c r="F220" s="785">
        <f>+G220</f>
        <v>5000000</v>
      </c>
      <c r="G220" s="785">
        <v>5000000</v>
      </c>
      <c r="H220" s="740">
        <v>43304</v>
      </c>
      <c r="I220" s="660">
        <f t="shared" si="11"/>
        <v>109610000</v>
      </c>
      <c r="J220" s="838" t="s">
        <v>974</v>
      </c>
    </row>
    <row r="221" spans="1:10">
      <c r="A221" s="717"/>
      <c r="B221" s="789"/>
      <c r="C221" s="789"/>
      <c r="D221" s="790"/>
      <c r="E221" s="789"/>
      <c r="F221" s="790"/>
      <c r="G221" s="790"/>
      <c r="H221" s="791"/>
      <c r="I221" s="790"/>
      <c r="J221" s="839"/>
    </row>
    <row r="222" spans="1:10">
      <c r="A222" s="715" t="s">
        <v>23</v>
      </c>
      <c r="B222" s="538" t="s">
        <v>1149</v>
      </c>
      <c r="C222" s="792"/>
      <c r="D222" s="793">
        <f>SUM(D173:D220)</f>
        <v>2942601934</v>
      </c>
      <c r="E222" s="793"/>
      <c r="F222" s="793">
        <f>SUM(F173:F220)</f>
        <v>2112263720.73</v>
      </c>
      <c r="G222" s="793">
        <f>SUM(G173:G220)</f>
        <v>2112263720.73</v>
      </c>
      <c r="H222" s="793"/>
      <c r="I222" s="793">
        <f>SUM(I173:I220)</f>
        <v>830345262</v>
      </c>
      <c r="J222" s="840"/>
    </row>
    <row r="223" spans="1:10">
      <c r="A223" s="717"/>
      <c r="B223" s="789"/>
      <c r="C223" s="789"/>
      <c r="D223" s="790"/>
      <c r="E223" s="789"/>
      <c r="F223" s="790"/>
      <c r="G223" s="790"/>
      <c r="H223" s="791"/>
      <c r="I223" s="790"/>
      <c r="J223" s="839"/>
    </row>
    <row r="224" spans="1:10" ht="31.5">
      <c r="A224" s="794" t="s">
        <v>938</v>
      </c>
      <c r="B224" s="795" t="s">
        <v>939</v>
      </c>
      <c r="C224" s="796"/>
      <c r="D224" s="797">
        <f>+D222+D170</f>
        <v>3489261494.71</v>
      </c>
      <c r="E224" s="797"/>
      <c r="F224" s="797">
        <f>+F222+F170</f>
        <v>2510043522.46</v>
      </c>
      <c r="G224" s="797">
        <f>+G222+G170</f>
        <v>2510043522.46</v>
      </c>
      <c r="H224" s="797"/>
      <c r="I224" s="797">
        <f>+I222+I170</f>
        <v>998525820.98000002</v>
      </c>
      <c r="J224" s="841"/>
    </row>
    <row r="225" spans="1:10">
      <c r="A225" s="798"/>
      <c r="B225" s="799"/>
      <c r="C225" s="799"/>
      <c r="D225" s="800"/>
      <c r="E225" s="799"/>
      <c r="F225" s="800"/>
      <c r="G225" s="800"/>
      <c r="H225" s="801"/>
      <c r="I225" s="800"/>
      <c r="J225" s="842"/>
    </row>
    <row r="226" spans="1:10" ht="17.25">
      <c r="A226" s="802" t="s">
        <v>940</v>
      </c>
      <c r="B226" s="588" t="s">
        <v>1150</v>
      </c>
      <c r="C226" s="803"/>
      <c r="D226" s="804">
        <f>SUM(D227:D228)</f>
        <v>9067046501.4400005</v>
      </c>
      <c r="E226" s="804"/>
      <c r="F226" s="804">
        <f>SUM(F227:F228)</f>
        <v>7105038254.2299995</v>
      </c>
      <c r="G226" s="804">
        <f>SUM(G227:G228)</f>
        <v>7105038254.2299995</v>
      </c>
      <c r="H226" s="804">
        <f>SUM(H227:H228)</f>
        <v>0</v>
      </c>
      <c r="I226" s="804">
        <f>SUM(I227:I228)+4000</f>
        <v>1962012247.21</v>
      </c>
      <c r="J226" s="843"/>
    </row>
    <row r="227" spans="1:10" ht="17.25">
      <c r="A227" s="805"/>
      <c r="B227" s="591" t="s">
        <v>1151</v>
      </c>
      <c r="C227" s="806"/>
      <c r="D227" s="514">
        <f>6118106646.68+982913000</f>
        <v>7101019646.6800003</v>
      </c>
      <c r="E227" s="515">
        <f>E224</f>
        <v>0</v>
      </c>
      <c r="F227" s="515">
        <f>+G227</f>
        <v>6090266242.75</v>
      </c>
      <c r="G227" s="515">
        <f>5346565242.75+743701000</f>
        <v>6090266242.75</v>
      </c>
      <c r="H227" s="515"/>
      <c r="I227" s="515">
        <f>+D227-F227</f>
        <v>1010753403.9299999</v>
      </c>
      <c r="J227" s="607"/>
    </row>
    <row r="228" spans="1:10" ht="17.25">
      <c r="A228" s="807"/>
      <c r="B228" s="591" t="s">
        <v>1152</v>
      </c>
      <c r="C228" s="806"/>
      <c r="D228" s="514">
        <f>1531767898.79+434258955.97</f>
        <v>1966026854.76</v>
      </c>
      <c r="E228" s="515">
        <f>E226</f>
        <v>0</v>
      </c>
      <c r="F228" s="515">
        <f>+G228</f>
        <v>1014772011.48</v>
      </c>
      <c r="G228" s="515">
        <f>651583777.26+363188234.22</f>
        <v>1014772011.48</v>
      </c>
      <c r="H228" s="515"/>
      <c r="I228" s="515">
        <f>+D228-F228</f>
        <v>951254843.27999997</v>
      </c>
      <c r="J228" s="608"/>
    </row>
    <row r="229" spans="1:10">
      <c r="A229" s="717"/>
      <c r="B229" s="789"/>
      <c r="C229" s="789"/>
      <c r="D229" s="790"/>
      <c r="E229" s="789"/>
      <c r="F229" s="790"/>
      <c r="G229" s="790"/>
      <c r="H229" s="791"/>
      <c r="I229" s="790"/>
      <c r="J229" s="839"/>
    </row>
    <row r="230" spans="1:10" ht="34.5">
      <c r="A230" s="503" t="s">
        <v>945</v>
      </c>
      <c r="B230" s="504" t="s">
        <v>1153</v>
      </c>
      <c r="C230" s="808"/>
      <c r="D230" s="505">
        <f>+D224+D226</f>
        <v>12556307996.15</v>
      </c>
      <c r="E230" s="505"/>
      <c r="F230" s="505">
        <f>+G230</f>
        <v>9615081776.6900005</v>
      </c>
      <c r="G230" s="505">
        <f>+G224+G226</f>
        <v>9615081776.6900005</v>
      </c>
      <c r="H230" s="505">
        <f>+H224+H226</f>
        <v>0</v>
      </c>
      <c r="I230" s="505">
        <f>+I224+I226</f>
        <v>2960538068.1900001</v>
      </c>
      <c r="J230" s="844"/>
    </row>
    <row r="231" spans="1:10">
      <c r="A231" s="809"/>
      <c r="B231" s="560"/>
      <c r="C231" s="810"/>
      <c r="D231" s="810"/>
      <c r="E231" s="810"/>
      <c r="F231" s="810"/>
      <c r="G231" s="810"/>
      <c r="H231" s="810"/>
      <c r="I231" s="845"/>
      <c r="J231" s="846"/>
    </row>
    <row r="232" spans="1:10" ht="69">
      <c r="A232" s="811"/>
      <c r="B232" s="812" t="s">
        <v>1154</v>
      </c>
      <c r="C232" s="813"/>
      <c r="D232" s="814"/>
      <c r="E232" s="815"/>
      <c r="F232" s="815">
        <f>88850000+17668742.66+80000000</f>
        <v>186518742.66</v>
      </c>
      <c r="G232" s="814"/>
      <c r="H232" s="814"/>
      <c r="I232" s="847">
        <f>+I230-F232</f>
        <v>2774019325.5300002</v>
      </c>
      <c r="J232" s="848"/>
    </row>
    <row r="237" spans="1:10">
      <c r="A237" s="2034" t="s">
        <v>1155</v>
      </c>
      <c r="B237" s="2034"/>
      <c r="C237" s="2034"/>
      <c r="D237" s="2034"/>
      <c r="E237" s="2034"/>
      <c r="F237" s="2034"/>
      <c r="G237" s="2034"/>
      <c r="H237" s="2034"/>
      <c r="I237" s="2034"/>
      <c r="J237" s="2034"/>
    </row>
    <row r="238" spans="1:10">
      <c r="A238" s="2034" t="s">
        <v>950</v>
      </c>
      <c r="B238" s="2034"/>
      <c r="C238" s="2034"/>
      <c r="D238" s="2034"/>
      <c r="E238" s="2034"/>
      <c r="F238" s="2034"/>
      <c r="G238" s="2034"/>
      <c r="H238" s="2034"/>
      <c r="I238" s="2034"/>
      <c r="J238" s="2034"/>
    </row>
    <row r="239" spans="1:10">
      <c r="A239" s="816"/>
      <c r="B239" s="816"/>
      <c r="C239" s="816"/>
      <c r="D239" s="817"/>
      <c r="E239" s="818"/>
      <c r="F239" s="817"/>
      <c r="G239" s="817"/>
      <c r="H239" s="816"/>
      <c r="I239" s="849"/>
      <c r="J239" s="816"/>
    </row>
    <row r="240" spans="1:10">
      <c r="A240" s="2006" t="s">
        <v>4</v>
      </c>
      <c r="B240" s="2008" t="s">
        <v>930</v>
      </c>
      <c r="C240" s="2004" t="s">
        <v>951</v>
      </c>
      <c r="D240" s="2002" t="s">
        <v>931</v>
      </c>
      <c r="E240" s="2004" t="s">
        <v>932</v>
      </c>
      <c r="F240" s="2002" t="s">
        <v>1156</v>
      </c>
      <c r="G240" s="2046" t="s">
        <v>1157</v>
      </c>
      <c r="H240" s="2047"/>
      <c r="I240" s="2038" t="s">
        <v>954</v>
      </c>
      <c r="J240" s="2040" t="s">
        <v>925</v>
      </c>
    </row>
    <row r="241" spans="1:10">
      <c r="A241" s="2007"/>
      <c r="B241" s="2005"/>
      <c r="C241" s="2005"/>
      <c r="D241" s="2003"/>
      <c r="E241" s="2005"/>
      <c r="F241" s="2003"/>
      <c r="G241" s="2048"/>
      <c r="H241" s="2049"/>
      <c r="I241" s="2039"/>
      <c r="J241" s="2041"/>
    </row>
    <row r="242" spans="1:10">
      <c r="A242" s="534" t="s">
        <v>955</v>
      </c>
      <c r="B242" s="535"/>
      <c r="C242" s="472"/>
      <c r="D242" s="473"/>
      <c r="E242" s="819"/>
      <c r="F242" s="473"/>
      <c r="G242" s="475"/>
      <c r="H242" s="475"/>
      <c r="I242" s="476"/>
      <c r="J242" s="598"/>
    </row>
    <row r="243" spans="1:10" ht="47.25">
      <c r="A243" s="536" t="s">
        <v>25</v>
      </c>
      <c r="B243" s="820" t="s">
        <v>169</v>
      </c>
      <c r="C243" s="821" t="s">
        <v>1158</v>
      </c>
      <c r="D243" s="822">
        <f>SUM(D244:D294)</f>
        <v>28735780</v>
      </c>
      <c r="E243" s="822"/>
      <c r="F243" s="822">
        <f>SUM(F244:F294)</f>
        <v>28735780</v>
      </c>
      <c r="G243" s="822">
        <f>SUM(G244:G294)</f>
        <v>28735780</v>
      </c>
      <c r="H243" s="822"/>
      <c r="I243" s="822">
        <f>+D243-F243</f>
        <v>0</v>
      </c>
      <c r="J243" s="612" t="s">
        <v>957</v>
      </c>
    </row>
    <row r="244" spans="1:10">
      <c r="A244" s="823">
        <v>2</v>
      </c>
      <c r="B244" s="2014" t="s">
        <v>1159</v>
      </c>
      <c r="C244" s="825" t="s">
        <v>1160</v>
      </c>
      <c r="D244" s="495">
        <v>7535000</v>
      </c>
      <c r="E244" s="826"/>
      <c r="F244" s="827">
        <f>SUM(G244:G263)</f>
        <v>7535000</v>
      </c>
      <c r="G244" s="828">
        <v>340000</v>
      </c>
      <c r="H244" s="829">
        <v>43234</v>
      </c>
      <c r="I244" s="850">
        <f>+D244-F244</f>
        <v>0</v>
      </c>
      <c r="J244" s="851" t="s">
        <v>914</v>
      </c>
    </row>
    <row r="245" spans="1:10">
      <c r="A245" s="830"/>
      <c r="B245" s="2015"/>
      <c r="C245" s="825"/>
      <c r="D245" s="495"/>
      <c r="E245" s="826"/>
      <c r="F245" s="832"/>
      <c r="G245" s="828">
        <v>380000</v>
      </c>
      <c r="H245" s="829">
        <v>43231</v>
      </c>
      <c r="I245" s="826"/>
      <c r="J245" s="852"/>
    </row>
    <row r="246" spans="1:10">
      <c r="A246" s="830"/>
      <c r="B246" s="568"/>
      <c r="C246" s="825"/>
      <c r="D246" s="495"/>
      <c r="E246" s="826"/>
      <c r="F246" s="832"/>
      <c r="G246" s="828">
        <v>380000</v>
      </c>
      <c r="H246" s="829">
        <v>43231</v>
      </c>
      <c r="I246" s="826"/>
      <c r="J246" s="852"/>
    </row>
    <row r="247" spans="1:10">
      <c r="A247" s="830"/>
      <c r="B247" s="568"/>
      <c r="C247" s="825"/>
      <c r="D247" s="495"/>
      <c r="E247" s="826"/>
      <c r="F247" s="832"/>
      <c r="G247" s="828">
        <v>380000</v>
      </c>
      <c r="H247" s="829">
        <v>43231</v>
      </c>
      <c r="I247" s="826"/>
      <c r="J247" s="852"/>
    </row>
    <row r="248" spans="1:10">
      <c r="A248" s="830"/>
      <c r="B248" s="568"/>
      <c r="C248" s="825"/>
      <c r="D248" s="495"/>
      <c r="E248" s="826"/>
      <c r="F248" s="832"/>
      <c r="G248" s="828">
        <v>380000</v>
      </c>
      <c r="H248" s="829">
        <v>43231</v>
      </c>
      <c r="I248" s="826"/>
      <c r="J248" s="852"/>
    </row>
    <row r="249" spans="1:10">
      <c r="A249" s="830"/>
      <c r="B249" s="568"/>
      <c r="C249" s="825"/>
      <c r="D249" s="495"/>
      <c r="E249" s="826"/>
      <c r="F249" s="832"/>
      <c r="G249" s="828">
        <v>380000</v>
      </c>
      <c r="H249" s="829">
        <v>43231</v>
      </c>
      <c r="I249" s="826"/>
      <c r="J249" s="852"/>
    </row>
    <row r="250" spans="1:10">
      <c r="A250" s="830"/>
      <c r="B250" s="568"/>
      <c r="C250" s="825"/>
      <c r="D250" s="495"/>
      <c r="E250" s="826"/>
      <c r="F250" s="832"/>
      <c r="G250" s="828">
        <v>380000</v>
      </c>
      <c r="H250" s="829">
        <v>43231</v>
      </c>
      <c r="I250" s="826"/>
      <c r="J250" s="852"/>
    </row>
    <row r="251" spans="1:10">
      <c r="A251" s="830"/>
      <c r="B251" s="568"/>
      <c r="C251" s="825"/>
      <c r="D251" s="495"/>
      <c r="E251" s="826"/>
      <c r="F251" s="832"/>
      <c r="G251" s="828">
        <v>380000</v>
      </c>
      <c r="H251" s="829">
        <v>43231</v>
      </c>
      <c r="I251" s="826"/>
      <c r="J251" s="852"/>
    </row>
    <row r="252" spans="1:10">
      <c r="A252" s="830"/>
      <c r="B252" s="568"/>
      <c r="C252" s="825"/>
      <c r="D252" s="495"/>
      <c r="E252" s="826"/>
      <c r="F252" s="832"/>
      <c r="G252" s="828">
        <v>380000</v>
      </c>
      <c r="H252" s="829">
        <v>43231</v>
      </c>
      <c r="I252" s="826"/>
      <c r="J252" s="852"/>
    </row>
    <row r="253" spans="1:10">
      <c r="A253" s="830"/>
      <c r="B253" s="568"/>
      <c r="C253" s="825"/>
      <c r="D253" s="495"/>
      <c r="E253" s="826"/>
      <c r="F253" s="832"/>
      <c r="G253" s="828">
        <v>380000</v>
      </c>
      <c r="H253" s="829">
        <v>43231</v>
      </c>
      <c r="I253" s="826"/>
      <c r="J253" s="852"/>
    </row>
    <row r="254" spans="1:10">
      <c r="A254" s="830"/>
      <c r="B254" s="568"/>
      <c r="C254" s="825"/>
      <c r="D254" s="495"/>
      <c r="E254" s="826"/>
      <c r="F254" s="832"/>
      <c r="G254" s="828">
        <v>380000</v>
      </c>
      <c r="H254" s="829">
        <v>43231</v>
      </c>
      <c r="I254" s="826"/>
      <c r="J254" s="852"/>
    </row>
    <row r="255" spans="1:10">
      <c r="A255" s="830"/>
      <c r="B255" s="568"/>
      <c r="C255" s="825"/>
      <c r="D255" s="495"/>
      <c r="E255" s="826"/>
      <c r="F255" s="832"/>
      <c r="G255" s="828">
        <v>380000</v>
      </c>
      <c r="H255" s="829">
        <v>43231</v>
      </c>
      <c r="I255" s="826"/>
      <c r="J255" s="852"/>
    </row>
    <row r="256" spans="1:10">
      <c r="A256" s="830"/>
      <c r="B256" s="568"/>
      <c r="C256" s="825"/>
      <c r="D256" s="495"/>
      <c r="E256" s="826"/>
      <c r="F256" s="832"/>
      <c r="G256" s="828">
        <v>380000</v>
      </c>
      <c r="H256" s="829">
        <v>43231</v>
      </c>
      <c r="I256" s="826"/>
      <c r="J256" s="852"/>
    </row>
    <row r="257" spans="1:10">
      <c r="A257" s="830"/>
      <c r="B257" s="568"/>
      <c r="C257" s="825"/>
      <c r="D257" s="495"/>
      <c r="E257" s="826"/>
      <c r="F257" s="832"/>
      <c r="G257" s="828">
        <v>340000</v>
      </c>
      <c r="H257" s="829">
        <v>43231</v>
      </c>
      <c r="I257" s="826"/>
      <c r="J257" s="852"/>
    </row>
    <row r="258" spans="1:10">
      <c r="A258" s="830"/>
      <c r="B258" s="568"/>
      <c r="C258" s="825"/>
      <c r="D258" s="495"/>
      <c r="E258" s="826"/>
      <c r="F258" s="832"/>
      <c r="G258" s="828">
        <v>340000</v>
      </c>
      <c r="H258" s="829">
        <v>43231</v>
      </c>
      <c r="I258" s="826"/>
      <c r="J258" s="852"/>
    </row>
    <row r="259" spans="1:10">
      <c r="A259" s="853"/>
      <c r="B259" s="854"/>
      <c r="C259" s="855"/>
      <c r="D259" s="856"/>
      <c r="E259" s="857"/>
      <c r="F259" s="858"/>
      <c r="G259" s="859">
        <v>340000</v>
      </c>
      <c r="H259" s="860">
        <v>43231</v>
      </c>
      <c r="I259" s="857"/>
      <c r="J259" s="931"/>
    </row>
    <row r="260" spans="1:10">
      <c r="A260" s="861"/>
      <c r="B260" s="862"/>
      <c r="C260" s="863"/>
      <c r="D260" s="864"/>
      <c r="E260" s="865"/>
      <c r="F260" s="866"/>
      <c r="G260" s="867">
        <v>340000</v>
      </c>
      <c r="H260" s="868">
        <v>43231</v>
      </c>
      <c r="I260" s="865"/>
      <c r="J260" s="932"/>
    </row>
    <row r="261" spans="1:10">
      <c r="A261" s="830"/>
      <c r="B261" s="568"/>
      <c r="C261" s="825"/>
      <c r="D261" s="495"/>
      <c r="E261" s="826"/>
      <c r="F261" s="832"/>
      <c r="G261" s="828">
        <v>425000</v>
      </c>
      <c r="H261" s="829">
        <v>43231</v>
      </c>
      <c r="I261" s="826"/>
      <c r="J261" s="852"/>
    </row>
    <row r="262" spans="1:10">
      <c r="A262" s="830"/>
      <c r="B262" s="568"/>
      <c r="C262" s="825"/>
      <c r="D262" s="495"/>
      <c r="E262" s="826"/>
      <c r="F262" s="832"/>
      <c r="G262" s="828">
        <v>425000</v>
      </c>
      <c r="H262" s="829">
        <v>43231</v>
      </c>
      <c r="I262" s="826"/>
      <c r="J262" s="852"/>
    </row>
    <row r="263" spans="1:10">
      <c r="A263" s="869"/>
      <c r="B263" s="568"/>
      <c r="C263" s="825"/>
      <c r="D263" s="495"/>
      <c r="E263" s="826"/>
      <c r="F263" s="870"/>
      <c r="G263" s="828">
        <v>425000</v>
      </c>
      <c r="H263" s="829">
        <v>43231</v>
      </c>
      <c r="I263" s="826"/>
      <c r="J263" s="933"/>
    </row>
    <row r="264" spans="1:10">
      <c r="A264" s="823">
        <v>3</v>
      </c>
      <c r="B264" s="2014" t="s">
        <v>1161</v>
      </c>
      <c r="C264" s="871" t="s">
        <v>1162</v>
      </c>
      <c r="D264" s="872">
        <v>800000</v>
      </c>
      <c r="E264" s="873"/>
      <c r="F264" s="827">
        <f>SUM(G264:G265)</f>
        <v>800000</v>
      </c>
      <c r="G264" s="479">
        <v>400000</v>
      </c>
      <c r="H264" s="486">
        <v>43234</v>
      </c>
      <c r="I264" s="934">
        <f>+D264-F264</f>
        <v>0</v>
      </c>
      <c r="J264" s="851" t="s">
        <v>914</v>
      </c>
    </row>
    <row r="265" spans="1:10">
      <c r="A265" s="869"/>
      <c r="B265" s="2016"/>
      <c r="C265" s="875"/>
      <c r="D265" s="876"/>
      <c r="E265" s="877"/>
      <c r="F265" s="870"/>
      <c r="G265" s="479">
        <v>400000</v>
      </c>
      <c r="H265" s="486">
        <v>43241</v>
      </c>
      <c r="I265" s="877"/>
      <c r="J265" s="935"/>
    </row>
    <row r="266" spans="1:10">
      <c r="A266" s="830">
        <v>4</v>
      </c>
      <c r="B266" s="2015" t="s">
        <v>1163</v>
      </c>
      <c r="C266" s="878" t="s">
        <v>1164</v>
      </c>
      <c r="D266" s="495">
        <v>225000</v>
      </c>
      <c r="E266" s="826"/>
      <c r="F266" s="832">
        <f>SUM(G266:G267)</f>
        <v>225000</v>
      </c>
      <c r="G266" s="876">
        <v>105000</v>
      </c>
      <c r="H266" s="879">
        <v>43241</v>
      </c>
      <c r="I266" s="936">
        <f>+D266-F266</f>
        <v>0</v>
      </c>
      <c r="J266" s="852" t="s">
        <v>914</v>
      </c>
    </row>
    <row r="267" spans="1:10">
      <c r="A267" s="869"/>
      <c r="B267" s="2016"/>
      <c r="C267" s="875"/>
      <c r="D267" s="876"/>
      <c r="E267" s="880"/>
      <c r="F267" s="870"/>
      <c r="G267" s="479">
        <v>120000</v>
      </c>
      <c r="H267" s="486">
        <v>43241</v>
      </c>
      <c r="I267" s="880"/>
      <c r="J267" s="935"/>
    </row>
    <row r="268" spans="1:10">
      <c r="A268" s="823">
        <v>5</v>
      </c>
      <c r="B268" s="2014" t="s">
        <v>1165</v>
      </c>
      <c r="C268" s="871" t="s">
        <v>1166</v>
      </c>
      <c r="D268" s="881">
        <v>8427500</v>
      </c>
      <c r="E268" s="882"/>
      <c r="F268" s="827">
        <f>SUM(G268:G278)</f>
        <v>8427500</v>
      </c>
      <c r="G268" s="479">
        <v>665000</v>
      </c>
      <c r="H268" s="486">
        <v>43234</v>
      </c>
      <c r="I268" s="934">
        <f>+D268-F268</f>
        <v>0</v>
      </c>
      <c r="J268" s="851" t="s">
        <v>914</v>
      </c>
    </row>
    <row r="269" spans="1:10">
      <c r="A269" s="830"/>
      <c r="B269" s="2015"/>
      <c r="C269" s="878"/>
      <c r="D269" s="495"/>
      <c r="E269" s="826"/>
      <c r="F269" s="832"/>
      <c r="G269" s="479">
        <v>500000</v>
      </c>
      <c r="H269" s="486">
        <v>43284</v>
      </c>
      <c r="I269" s="826"/>
      <c r="J269" s="937"/>
    </row>
    <row r="270" spans="1:10">
      <c r="A270" s="830"/>
      <c r="B270" s="883"/>
      <c r="C270" s="878"/>
      <c r="D270" s="495"/>
      <c r="E270" s="826"/>
      <c r="F270" s="832"/>
      <c r="G270" s="479">
        <v>350000</v>
      </c>
      <c r="H270" s="486">
        <v>43284</v>
      </c>
      <c r="I270" s="826"/>
      <c r="J270" s="937"/>
    </row>
    <row r="271" spans="1:10">
      <c r="A271" s="830"/>
      <c r="B271" s="883"/>
      <c r="C271" s="878"/>
      <c r="D271" s="495"/>
      <c r="E271" s="826"/>
      <c r="F271" s="832"/>
      <c r="G271" s="479">
        <v>1900000</v>
      </c>
      <c r="H271" s="486">
        <v>43284</v>
      </c>
      <c r="I271" s="826"/>
      <c r="J271" s="937"/>
    </row>
    <row r="272" spans="1:10">
      <c r="A272" s="830"/>
      <c r="B272" s="883"/>
      <c r="C272" s="878"/>
      <c r="D272" s="495"/>
      <c r="E272" s="826"/>
      <c r="F272" s="832"/>
      <c r="G272" s="479">
        <v>475000</v>
      </c>
      <c r="H272" s="486">
        <v>43284</v>
      </c>
      <c r="I272" s="826"/>
      <c r="J272" s="937"/>
    </row>
    <row r="273" spans="1:10">
      <c r="A273" s="830"/>
      <c r="B273" s="883"/>
      <c r="C273" s="878"/>
      <c r="D273" s="495"/>
      <c r="E273" s="826"/>
      <c r="F273" s="832"/>
      <c r="G273" s="479">
        <v>332500</v>
      </c>
      <c r="H273" s="486">
        <v>43284</v>
      </c>
      <c r="I273" s="826"/>
      <c r="J273" s="937"/>
    </row>
    <row r="274" spans="1:10">
      <c r="A274" s="830"/>
      <c r="B274" s="883"/>
      <c r="C274" s="878"/>
      <c r="D274" s="495"/>
      <c r="E274" s="826"/>
      <c r="F274" s="832"/>
      <c r="G274" s="479">
        <v>475000</v>
      </c>
      <c r="H274" s="486">
        <v>43284</v>
      </c>
      <c r="I274" s="826"/>
      <c r="J274" s="937"/>
    </row>
    <row r="275" spans="1:10">
      <c r="A275" s="830"/>
      <c r="B275" s="883"/>
      <c r="C275" s="878"/>
      <c r="D275" s="495"/>
      <c r="E275" s="826"/>
      <c r="F275" s="832"/>
      <c r="G275" s="479">
        <v>350000</v>
      </c>
      <c r="H275" s="486">
        <v>43284</v>
      </c>
      <c r="I275" s="826"/>
      <c r="J275" s="937"/>
    </row>
    <row r="276" spans="1:10">
      <c r="A276" s="830"/>
      <c r="B276" s="883"/>
      <c r="C276" s="878"/>
      <c r="D276" s="495"/>
      <c r="E276" s="826"/>
      <c r="F276" s="832"/>
      <c r="G276" s="479">
        <v>552500</v>
      </c>
      <c r="H276" s="486">
        <v>43284</v>
      </c>
      <c r="I276" s="826"/>
      <c r="J276" s="937"/>
    </row>
    <row r="277" spans="1:10">
      <c r="A277" s="830"/>
      <c r="B277" s="883"/>
      <c r="C277" s="878"/>
      <c r="D277" s="495"/>
      <c r="E277" s="826"/>
      <c r="F277" s="832"/>
      <c r="G277" s="479">
        <v>1377500</v>
      </c>
      <c r="H277" s="486">
        <v>43284</v>
      </c>
      <c r="I277" s="826"/>
      <c r="J277" s="937"/>
    </row>
    <row r="278" spans="1:10">
      <c r="A278" s="869"/>
      <c r="B278" s="877"/>
      <c r="C278" s="875"/>
      <c r="D278" s="876"/>
      <c r="E278" s="880"/>
      <c r="F278" s="870"/>
      <c r="G278" s="479">
        <v>1450000</v>
      </c>
      <c r="H278" s="486">
        <v>43284</v>
      </c>
      <c r="I278" s="880"/>
      <c r="J278" s="935"/>
    </row>
    <row r="279" spans="1:10">
      <c r="A279" s="823">
        <v>6</v>
      </c>
      <c r="B279" s="2014" t="s">
        <v>1167</v>
      </c>
      <c r="C279" s="871" t="s">
        <v>1168</v>
      </c>
      <c r="D279" s="881">
        <v>3924000</v>
      </c>
      <c r="E279" s="882"/>
      <c r="F279" s="827">
        <f>SUM(G279:G285)</f>
        <v>3924000</v>
      </c>
      <c r="G279" s="479">
        <v>800000</v>
      </c>
      <c r="H279" s="486">
        <v>43241</v>
      </c>
      <c r="I279" s="934">
        <f>+D279-F279</f>
        <v>0</v>
      </c>
      <c r="J279" s="851" t="s">
        <v>914</v>
      </c>
    </row>
    <row r="280" spans="1:10">
      <c r="A280" s="830"/>
      <c r="B280" s="2015"/>
      <c r="C280" s="878"/>
      <c r="D280" s="495"/>
      <c r="E280" s="826"/>
      <c r="F280" s="832"/>
      <c r="G280" s="479">
        <v>820000</v>
      </c>
      <c r="H280" s="486">
        <v>43241</v>
      </c>
      <c r="I280" s="826"/>
      <c r="J280" s="937"/>
    </row>
    <row r="281" spans="1:10">
      <c r="A281" s="830"/>
      <c r="B281" s="883"/>
      <c r="C281" s="878"/>
      <c r="D281" s="495"/>
      <c r="E281" s="826"/>
      <c r="F281" s="832"/>
      <c r="G281" s="479">
        <v>800000</v>
      </c>
      <c r="H281" s="486">
        <v>43241</v>
      </c>
      <c r="I281" s="826"/>
      <c r="J281" s="937"/>
    </row>
    <row r="282" spans="1:10">
      <c r="A282" s="853"/>
      <c r="B282" s="884"/>
      <c r="C282" s="885"/>
      <c r="D282" s="856"/>
      <c r="E282" s="857"/>
      <c r="F282" s="858"/>
      <c r="G282" s="886">
        <v>320000</v>
      </c>
      <c r="H282" s="887">
        <v>43241</v>
      </c>
      <c r="I282" s="857"/>
      <c r="J282" s="938"/>
    </row>
    <row r="283" spans="1:10">
      <c r="A283" s="861"/>
      <c r="B283" s="888"/>
      <c r="C283" s="889"/>
      <c r="D283" s="864"/>
      <c r="E283" s="865"/>
      <c r="F283" s="866"/>
      <c r="G283" s="890">
        <v>820000</v>
      </c>
      <c r="H283" s="891">
        <v>43242</v>
      </c>
      <c r="I283" s="865"/>
      <c r="J283" s="939"/>
    </row>
    <row r="284" spans="1:10">
      <c r="A284" s="830"/>
      <c r="B284" s="883"/>
      <c r="C284" s="878"/>
      <c r="D284" s="495"/>
      <c r="E284" s="826"/>
      <c r="F284" s="832"/>
      <c r="G284" s="479">
        <v>236000</v>
      </c>
      <c r="H284" s="486">
        <v>43248</v>
      </c>
      <c r="I284" s="826"/>
      <c r="J284" s="937"/>
    </row>
    <row r="285" spans="1:10">
      <c r="A285" s="869"/>
      <c r="B285" s="877"/>
      <c r="C285" s="875"/>
      <c r="D285" s="876"/>
      <c r="E285" s="880"/>
      <c r="F285" s="870"/>
      <c r="G285" s="479">
        <v>128000</v>
      </c>
      <c r="H285" s="486">
        <v>43284</v>
      </c>
      <c r="I285" s="880"/>
      <c r="J285" s="935"/>
    </row>
    <row r="286" spans="1:10">
      <c r="A286" s="823">
        <v>7</v>
      </c>
      <c r="B286" s="2014" t="s">
        <v>1169</v>
      </c>
      <c r="C286" s="871" t="s">
        <v>1170</v>
      </c>
      <c r="D286" s="881">
        <v>6854280</v>
      </c>
      <c r="E286" s="882"/>
      <c r="F286" s="827">
        <f>SUM(G286:G290)</f>
        <v>6854280</v>
      </c>
      <c r="G286" s="479">
        <v>390000</v>
      </c>
      <c r="H286" s="486">
        <v>43241</v>
      </c>
      <c r="I286" s="934">
        <f>+D286-F286</f>
        <v>0</v>
      </c>
      <c r="J286" s="851" t="s">
        <v>914</v>
      </c>
    </row>
    <row r="287" spans="1:10">
      <c r="A287" s="830"/>
      <c r="B287" s="2015"/>
      <c r="C287" s="878"/>
      <c r="D287" s="495"/>
      <c r="E287" s="826"/>
      <c r="F287" s="832"/>
      <c r="G287" s="479">
        <v>340000</v>
      </c>
      <c r="H287" s="486">
        <v>43241</v>
      </c>
      <c r="I287" s="826"/>
      <c r="J287" s="937"/>
    </row>
    <row r="288" spans="1:10">
      <c r="A288" s="830"/>
      <c r="B288" s="883"/>
      <c r="C288" s="878"/>
      <c r="D288" s="495"/>
      <c r="E288" s="826"/>
      <c r="F288" s="832"/>
      <c r="G288" s="479">
        <v>340000</v>
      </c>
      <c r="H288" s="486">
        <v>43241</v>
      </c>
      <c r="I288" s="826"/>
      <c r="J288" s="937"/>
    </row>
    <row r="289" spans="1:10">
      <c r="A289" s="830"/>
      <c r="B289" s="883"/>
      <c r="C289" s="878"/>
      <c r="D289" s="495"/>
      <c r="E289" s="826"/>
      <c r="F289" s="832"/>
      <c r="G289" s="479">
        <v>1700000</v>
      </c>
      <c r="H289" s="486">
        <v>43248</v>
      </c>
      <c r="I289" s="826"/>
      <c r="J289" s="937"/>
    </row>
    <row r="290" spans="1:10">
      <c r="A290" s="869"/>
      <c r="B290" s="877"/>
      <c r="C290" s="875"/>
      <c r="D290" s="876"/>
      <c r="E290" s="880"/>
      <c r="F290" s="870"/>
      <c r="G290" s="479">
        <v>4084280</v>
      </c>
      <c r="H290" s="486">
        <v>43248</v>
      </c>
      <c r="I290" s="880"/>
      <c r="J290" s="935"/>
    </row>
    <row r="291" spans="1:10">
      <c r="A291" s="823">
        <v>8</v>
      </c>
      <c r="B291" s="2014" t="s">
        <v>1171</v>
      </c>
      <c r="C291" s="871" t="s">
        <v>1172</v>
      </c>
      <c r="D291" s="881">
        <v>970000</v>
      </c>
      <c r="E291" s="882"/>
      <c r="F291" s="827">
        <f>SUM(G291:G294)</f>
        <v>970000</v>
      </c>
      <c r="G291" s="479">
        <v>200000</v>
      </c>
      <c r="H291" s="486">
        <v>43241</v>
      </c>
      <c r="I291" s="934">
        <f>+D291-F291</f>
        <v>0</v>
      </c>
      <c r="J291" s="851" t="s">
        <v>914</v>
      </c>
    </row>
    <row r="292" spans="1:10">
      <c r="A292" s="830"/>
      <c r="B292" s="2015"/>
      <c r="C292" s="878"/>
      <c r="D292" s="495"/>
      <c r="E292" s="826"/>
      <c r="F292" s="832"/>
      <c r="G292" s="479">
        <v>580000</v>
      </c>
      <c r="H292" s="486">
        <v>43241</v>
      </c>
      <c r="I292" s="826"/>
      <c r="J292" s="937"/>
    </row>
    <row r="293" spans="1:10">
      <c r="A293" s="830"/>
      <c r="B293" s="2015"/>
      <c r="C293" s="878"/>
      <c r="D293" s="495"/>
      <c r="E293" s="826"/>
      <c r="F293" s="832"/>
      <c r="G293" s="479">
        <v>150000</v>
      </c>
      <c r="H293" s="486">
        <v>43241</v>
      </c>
      <c r="I293" s="826"/>
      <c r="J293" s="937"/>
    </row>
    <row r="294" spans="1:10">
      <c r="A294" s="869"/>
      <c r="B294" s="2016"/>
      <c r="C294" s="875"/>
      <c r="D294" s="876"/>
      <c r="E294" s="880"/>
      <c r="F294" s="870"/>
      <c r="G294" s="479">
        <v>40000</v>
      </c>
      <c r="H294" s="486">
        <v>43241</v>
      </c>
      <c r="I294" s="880"/>
      <c r="J294" s="935"/>
    </row>
    <row r="295" spans="1:10">
      <c r="A295" s="823"/>
      <c r="B295" s="892"/>
      <c r="C295" s="892"/>
      <c r="D295" s="893"/>
      <c r="E295" s="490"/>
      <c r="F295" s="491"/>
      <c r="G295" s="491"/>
      <c r="H295" s="490"/>
      <c r="I295" s="493"/>
      <c r="J295" s="602"/>
    </row>
    <row r="296" spans="1:10" ht="31.5">
      <c r="A296" s="894" t="s">
        <v>37</v>
      </c>
      <c r="B296" s="895" t="s">
        <v>1173</v>
      </c>
      <c r="C296" s="896" t="s">
        <v>1174</v>
      </c>
      <c r="D296" s="897">
        <f>+D297</f>
        <v>4786500</v>
      </c>
      <c r="E296" s="897"/>
      <c r="F296" s="897">
        <f>+F297</f>
        <v>4786500</v>
      </c>
      <c r="G296" s="897">
        <f>+G297</f>
        <v>4786500</v>
      </c>
      <c r="H296" s="897"/>
      <c r="I296" s="897">
        <f>+I297</f>
        <v>0</v>
      </c>
      <c r="J296" s="940" t="s">
        <v>957</v>
      </c>
    </row>
    <row r="297" spans="1:10" ht="47.25">
      <c r="A297" s="823">
        <v>9</v>
      </c>
      <c r="B297" s="898" t="s">
        <v>1175</v>
      </c>
      <c r="C297" s="899" t="s">
        <v>1176</v>
      </c>
      <c r="D297" s="900">
        <v>4786500</v>
      </c>
      <c r="E297" s="482"/>
      <c r="F297" s="901">
        <f>+G297</f>
        <v>4786500</v>
      </c>
      <c r="G297" s="901">
        <v>4786500</v>
      </c>
      <c r="H297" s="486">
        <v>43228</v>
      </c>
      <c r="I297" s="487">
        <f>+D297-F297</f>
        <v>0</v>
      </c>
      <c r="J297" s="600" t="s">
        <v>914</v>
      </c>
    </row>
    <row r="298" spans="1:10">
      <c r="A298" s="481"/>
      <c r="B298" s="902"/>
      <c r="C298" s="902"/>
      <c r="D298" s="903"/>
      <c r="E298" s="490"/>
      <c r="F298" s="491"/>
      <c r="G298" s="491"/>
      <c r="H298" s="490"/>
      <c r="I298" s="493"/>
      <c r="J298" s="602"/>
    </row>
    <row r="299" spans="1:10" ht="31.5">
      <c r="A299" s="536" t="s">
        <v>60</v>
      </c>
      <c r="B299" s="904" t="s">
        <v>1177</v>
      </c>
      <c r="C299" s="905" t="s">
        <v>1178</v>
      </c>
      <c r="D299" s="906">
        <f>+D300</f>
        <v>400000</v>
      </c>
      <c r="E299" s="906"/>
      <c r="F299" s="906">
        <f>+F300</f>
        <v>400000</v>
      </c>
      <c r="G299" s="906">
        <f>+G300</f>
        <v>400000</v>
      </c>
      <c r="H299" s="906"/>
      <c r="I299" s="906">
        <f>+I300</f>
        <v>0</v>
      </c>
      <c r="J299" s="612" t="s">
        <v>957</v>
      </c>
    </row>
    <row r="300" spans="1:10" ht="31.5">
      <c r="A300" s="481">
        <v>10</v>
      </c>
      <c r="B300" s="907" t="s">
        <v>1179</v>
      </c>
      <c r="C300" s="899" t="s">
        <v>1168</v>
      </c>
      <c r="D300" s="900">
        <v>400000</v>
      </c>
      <c r="E300" s="482"/>
      <c r="F300" s="901">
        <f>+G300</f>
        <v>400000</v>
      </c>
      <c r="G300" s="901">
        <v>400000</v>
      </c>
      <c r="H300" s="486">
        <v>43293</v>
      </c>
      <c r="I300" s="941">
        <f>+D300-F300</f>
        <v>0</v>
      </c>
      <c r="J300" s="600" t="s">
        <v>914</v>
      </c>
    </row>
    <row r="301" spans="1:10">
      <c r="A301" s="481"/>
      <c r="B301" s="902"/>
      <c r="C301" s="902"/>
      <c r="D301" s="903"/>
      <c r="E301" s="490"/>
      <c r="F301" s="491"/>
      <c r="G301" s="491"/>
      <c r="H301" s="490"/>
      <c r="I301" s="493"/>
      <c r="J301" s="602"/>
    </row>
    <row r="302" spans="1:10" ht="31.5">
      <c r="A302" s="536" t="s">
        <v>981</v>
      </c>
      <c r="B302" s="904" t="s">
        <v>1180</v>
      </c>
      <c r="C302" s="905" t="s">
        <v>1181</v>
      </c>
      <c r="D302" s="906">
        <f>SUM(D303:D304)</f>
        <v>1300000</v>
      </c>
      <c r="E302" s="906"/>
      <c r="F302" s="906">
        <f>SUM(F303:F304)</f>
        <v>1300000</v>
      </c>
      <c r="G302" s="906">
        <f>SUM(G303:G304)</f>
        <v>1300000</v>
      </c>
      <c r="H302" s="906"/>
      <c r="I302" s="906">
        <f>SUM(I303:I304)</f>
        <v>0</v>
      </c>
      <c r="J302" s="612" t="s">
        <v>957</v>
      </c>
    </row>
    <row r="303" spans="1:10">
      <c r="A303" s="823">
        <v>11</v>
      </c>
      <c r="B303" s="2017" t="s">
        <v>1182</v>
      </c>
      <c r="C303" s="871" t="s">
        <v>1162</v>
      </c>
      <c r="D303" s="908">
        <v>1300000</v>
      </c>
      <c r="E303" s="909"/>
      <c r="F303" s="910">
        <f>+G303</f>
        <v>1300000</v>
      </c>
      <c r="G303" s="911">
        <v>1300000</v>
      </c>
      <c r="H303" s="912">
        <v>43287</v>
      </c>
      <c r="I303" s="942">
        <f>+D303-F303</f>
        <v>0</v>
      </c>
      <c r="J303" s="851" t="s">
        <v>914</v>
      </c>
    </row>
    <row r="304" spans="1:10">
      <c r="A304" s="913"/>
      <c r="B304" s="2018"/>
      <c r="C304" s="914"/>
      <c r="D304" s="915"/>
      <c r="E304" s="914"/>
      <c r="F304" s="915"/>
      <c r="G304" s="916"/>
      <c r="H304" s="914"/>
      <c r="I304" s="943"/>
      <c r="J304" s="944"/>
    </row>
    <row r="305" spans="1:10">
      <c r="A305" s="917"/>
      <c r="B305" s="918"/>
      <c r="C305" s="918"/>
      <c r="D305" s="919"/>
      <c r="E305" s="918"/>
      <c r="F305" s="919"/>
      <c r="G305" s="919"/>
      <c r="H305" s="918"/>
      <c r="I305" s="945"/>
      <c r="J305" s="946"/>
    </row>
    <row r="306" spans="1:10" ht="31.5">
      <c r="A306" s="894" t="s">
        <v>986</v>
      </c>
      <c r="B306" s="895" t="s">
        <v>961</v>
      </c>
      <c r="C306" s="896" t="s">
        <v>962</v>
      </c>
      <c r="D306" s="897">
        <f>SUM(D307:D307)</f>
        <v>450000</v>
      </c>
      <c r="E306" s="897">
        <f>SUM(E307:E307)</f>
        <v>0</v>
      </c>
      <c r="F306" s="897">
        <f>SUM(F307:F307)</f>
        <v>0</v>
      </c>
      <c r="G306" s="897">
        <f>SUM(G307:G307)</f>
        <v>0</v>
      </c>
      <c r="H306" s="897"/>
      <c r="I306" s="897">
        <f>SUM(I307:I307)</f>
        <v>450000</v>
      </c>
      <c r="J306" s="947" t="s">
        <v>963</v>
      </c>
    </row>
    <row r="307" spans="1:10" ht="47.25">
      <c r="A307" s="481">
        <v>12</v>
      </c>
      <c r="B307" s="898" t="s">
        <v>1183</v>
      </c>
      <c r="C307" s="899"/>
      <c r="D307" s="900">
        <v>450000</v>
      </c>
      <c r="E307" s="907"/>
      <c r="F307" s="901">
        <f>+G307</f>
        <v>0</v>
      </c>
      <c r="G307" s="920">
        <v>0</v>
      </c>
      <c r="H307" s="829"/>
      <c r="I307" s="941">
        <f>+D307-F307</f>
        <v>450000</v>
      </c>
      <c r="J307" s="601" t="s">
        <v>974</v>
      </c>
    </row>
    <row r="308" spans="1:10">
      <c r="A308" s="481"/>
      <c r="B308" s="902"/>
      <c r="C308" s="902"/>
      <c r="D308" s="903"/>
      <c r="E308" s="490"/>
      <c r="F308" s="491"/>
      <c r="G308" s="491"/>
      <c r="H308" s="490"/>
      <c r="I308" s="493"/>
      <c r="J308" s="602"/>
    </row>
    <row r="309" spans="1:10" ht="31.5">
      <c r="A309" s="536" t="s">
        <v>1007</v>
      </c>
      <c r="B309" s="904" t="s">
        <v>1184</v>
      </c>
      <c r="C309" s="905" t="s">
        <v>1185</v>
      </c>
      <c r="D309" s="906">
        <f>SUM(D310:D326)</f>
        <v>98516366</v>
      </c>
      <c r="E309" s="906">
        <f>SUM(E310:E326)</f>
        <v>0</v>
      </c>
      <c r="F309" s="906">
        <f>SUM(F310:F326)</f>
        <v>96681366</v>
      </c>
      <c r="G309" s="906">
        <f>SUM(G310:G326)</f>
        <v>96681366</v>
      </c>
      <c r="H309" s="906"/>
      <c r="I309" s="906">
        <f>SUM(I310:I326)</f>
        <v>1835000</v>
      </c>
      <c r="J309" s="619" t="s">
        <v>963</v>
      </c>
    </row>
    <row r="310" spans="1:10" ht="31.5">
      <c r="A310" s="555">
        <v>13</v>
      </c>
      <c r="B310" s="921" t="s">
        <v>1186</v>
      </c>
      <c r="C310" s="497" t="s">
        <v>1187</v>
      </c>
      <c r="D310" s="900">
        <v>1835000</v>
      </c>
      <c r="E310" s="900"/>
      <c r="F310" s="900"/>
      <c r="G310" s="900"/>
      <c r="H310" s="900"/>
      <c r="I310" s="900">
        <f>+D310-F310</f>
        <v>1835000</v>
      </c>
      <c r="J310" s="675" t="s">
        <v>974</v>
      </c>
    </row>
    <row r="311" spans="1:10" ht="31.5">
      <c r="A311" s="555">
        <f>A310+1</f>
        <v>14</v>
      </c>
      <c r="B311" s="921" t="s">
        <v>1188</v>
      </c>
      <c r="C311" s="497" t="s">
        <v>970</v>
      </c>
      <c r="D311" s="900">
        <v>400000</v>
      </c>
      <c r="E311" s="900"/>
      <c r="F311" s="900">
        <f>+G311</f>
        <v>400000</v>
      </c>
      <c r="G311" s="900">
        <v>400000</v>
      </c>
      <c r="H311" s="829">
        <v>43319</v>
      </c>
      <c r="I311" s="900">
        <f>+D311-F311</f>
        <v>0</v>
      </c>
      <c r="J311" s="948" t="s">
        <v>914</v>
      </c>
    </row>
    <row r="312" spans="1:10" ht="31.5">
      <c r="A312" s="555">
        <f t="shared" ref="A312:A326" si="12">A311+1</f>
        <v>15</v>
      </c>
      <c r="B312" s="907" t="s">
        <v>1189</v>
      </c>
      <c r="C312" s="497" t="s">
        <v>968</v>
      </c>
      <c r="D312" s="900">
        <v>6750000</v>
      </c>
      <c r="E312" s="900"/>
      <c r="F312" s="900">
        <f>+G312</f>
        <v>6750000</v>
      </c>
      <c r="G312" s="900">
        <v>6750000</v>
      </c>
      <c r="H312" s="829">
        <v>43319</v>
      </c>
      <c r="I312" s="900">
        <f>+D312-F312</f>
        <v>0</v>
      </c>
      <c r="J312" s="948" t="s">
        <v>914</v>
      </c>
    </row>
    <row r="313" spans="1:10" ht="31.5">
      <c r="A313" s="555">
        <f t="shared" si="12"/>
        <v>16</v>
      </c>
      <c r="B313" s="907" t="s">
        <v>1190</v>
      </c>
      <c r="C313" s="497" t="s">
        <v>970</v>
      </c>
      <c r="D313" s="900">
        <v>12226200</v>
      </c>
      <c r="E313" s="908"/>
      <c r="F313" s="908">
        <f>SUM(G313:G314)</f>
        <v>16876200</v>
      </c>
      <c r="G313" s="908">
        <v>16876200</v>
      </c>
      <c r="H313" s="912">
        <v>43349</v>
      </c>
      <c r="I313" s="908">
        <f>+D313+D314-F313</f>
        <v>0</v>
      </c>
      <c r="J313" s="949" t="s">
        <v>914</v>
      </c>
    </row>
    <row r="314" spans="1:10" ht="31.5">
      <c r="A314" s="555">
        <f t="shared" si="12"/>
        <v>17</v>
      </c>
      <c r="B314" s="921" t="s">
        <v>1191</v>
      </c>
      <c r="C314" s="497" t="s">
        <v>972</v>
      </c>
      <c r="D314" s="900">
        <v>4650000</v>
      </c>
      <c r="E314" s="922"/>
      <c r="F314" s="922"/>
      <c r="G314" s="922"/>
      <c r="H314" s="923"/>
      <c r="I314" s="922"/>
      <c r="J314" s="950"/>
    </row>
    <row r="315" spans="1:10" ht="31.5">
      <c r="A315" s="555">
        <f t="shared" si="12"/>
        <v>18</v>
      </c>
      <c r="B315" s="921" t="s">
        <v>1192</v>
      </c>
      <c r="C315" s="924" t="s">
        <v>1193</v>
      </c>
      <c r="D315" s="900">
        <v>10410000</v>
      </c>
      <c r="E315" s="900"/>
      <c r="F315" s="900">
        <f>+G315</f>
        <v>10410000</v>
      </c>
      <c r="G315" s="920">
        <v>10410000</v>
      </c>
      <c r="H315" s="829">
        <v>43353</v>
      </c>
      <c r="I315" s="900">
        <f>+D315-F315</f>
        <v>0</v>
      </c>
      <c r="J315" s="948" t="s">
        <v>914</v>
      </c>
    </row>
    <row r="316" spans="1:10" ht="31.5">
      <c r="A316" s="555">
        <f t="shared" si="12"/>
        <v>19</v>
      </c>
      <c r="B316" s="925" t="s">
        <v>1194</v>
      </c>
      <c r="C316" s="924" t="s">
        <v>1195</v>
      </c>
      <c r="D316" s="900">
        <v>1650000</v>
      </c>
      <c r="E316" s="900"/>
      <c r="F316" s="900">
        <f>+G316</f>
        <v>1650000</v>
      </c>
      <c r="G316" s="920">
        <v>1650000</v>
      </c>
      <c r="H316" s="829">
        <v>43353</v>
      </c>
      <c r="I316" s="900">
        <f>+D316-F316</f>
        <v>0</v>
      </c>
      <c r="J316" s="951" t="s">
        <v>914</v>
      </c>
    </row>
    <row r="317" spans="1:10" ht="31.5">
      <c r="A317" s="555">
        <f t="shared" si="12"/>
        <v>20</v>
      </c>
      <c r="B317" s="926" t="s">
        <v>1196</v>
      </c>
      <c r="C317" s="927" t="s">
        <v>968</v>
      </c>
      <c r="D317" s="922">
        <v>8299000</v>
      </c>
      <c r="E317" s="922"/>
      <c r="F317" s="922">
        <f>+G317</f>
        <v>8299000</v>
      </c>
      <c r="G317" s="928">
        <v>8299000</v>
      </c>
      <c r="H317" s="923">
        <v>43353</v>
      </c>
      <c r="I317" s="922">
        <f>+D317-F317</f>
        <v>0</v>
      </c>
      <c r="J317" s="948" t="s">
        <v>914</v>
      </c>
    </row>
    <row r="318" spans="1:10" ht="31.5">
      <c r="A318" s="555">
        <f t="shared" si="12"/>
        <v>21</v>
      </c>
      <c r="B318" s="921" t="s">
        <v>1197</v>
      </c>
      <c r="C318" s="497" t="s">
        <v>970</v>
      </c>
      <c r="D318" s="900">
        <v>244480</v>
      </c>
      <c r="E318" s="908"/>
      <c r="F318" s="908">
        <f>SUM(G318:G320)</f>
        <v>6419926</v>
      </c>
      <c r="G318" s="908">
        <v>6419926</v>
      </c>
      <c r="H318" s="912">
        <v>43318</v>
      </c>
      <c r="I318" s="908">
        <f>+D318+D319+D320-F318</f>
        <v>0</v>
      </c>
      <c r="J318" s="949" t="s">
        <v>914</v>
      </c>
    </row>
    <row r="319" spans="1:10" ht="31.5">
      <c r="A319" s="555">
        <f t="shared" si="12"/>
        <v>22</v>
      </c>
      <c r="B319" s="921" t="s">
        <v>1198</v>
      </c>
      <c r="C319" s="497" t="s">
        <v>972</v>
      </c>
      <c r="D319" s="900">
        <v>450000</v>
      </c>
      <c r="E319" s="929"/>
      <c r="F319" s="929"/>
      <c r="G319" s="929"/>
      <c r="H319" s="930"/>
      <c r="I319" s="929"/>
      <c r="J319" s="952"/>
    </row>
    <row r="320" spans="1:10" ht="31.5">
      <c r="A320" s="555">
        <f t="shared" si="12"/>
        <v>23</v>
      </c>
      <c r="B320" s="921" t="s">
        <v>1199</v>
      </c>
      <c r="C320" s="497" t="s">
        <v>1187</v>
      </c>
      <c r="D320" s="900">
        <v>5725446</v>
      </c>
      <c r="E320" s="922"/>
      <c r="F320" s="922"/>
      <c r="G320" s="922"/>
      <c r="H320" s="923"/>
      <c r="I320" s="922"/>
      <c r="J320" s="950"/>
    </row>
    <row r="321" spans="1:10" ht="31.5">
      <c r="A321" s="555">
        <f t="shared" si="12"/>
        <v>24</v>
      </c>
      <c r="B321" s="831" t="s">
        <v>1200</v>
      </c>
      <c r="C321" s="497" t="s">
        <v>968</v>
      </c>
      <c r="D321" s="900">
        <v>3750000</v>
      </c>
      <c r="E321" s="908"/>
      <c r="F321" s="908">
        <f>SUM(G321:G322)</f>
        <v>8150000</v>
      </c>
      <c r="G321" s="908">
        <f>+D321+D322</f>
        <v>8150000</v>
      </c>
      <c r="H321" s="912">
        <v>43318</v>
      </c>
      <c r="I321" s="908">
        <f>+D321+D322-F321</f>
        <v>0</v>
      </c>
      <c r="J321" s="949" t="s">
        <v>914</v>
      </c>
    </row>
    <row r="322" spans="1:10" ht="31.5">
      <c r="A322" s="555">
        <f t="shared" si="12"/>
        <v>25</v>
      </c>
      <c r="B322" s="921" t="s">
        <v>1201</v>
      </c>
      <c r="C322" s="497" t="s">
        <v>970</v>
      </c>
      <c r="D322" s="900">
        <v>4400000</v>
      </c>
      <c r="E322" s="922"/>
      <c r="F322" s="922"/>
      <c r="G322" s="922"/>
      <c r="H322" s="923"/>
      <c r="I322" s="922"/>
      <c r="J322" s="950"/>
    </row>
    <row r="323" spans="1:10" ht="31.5">
      <c r="A323" s="555">
        <f t="shared" si="12"/>
        <v>26</v>
      </c>
      <c r="B323" s="921" t="s">
        <v>1202</v>
      </c>
      <c r="C323" s="497" t="s">
        <v>968</v>
      </c>
      <c r="D323" s="900">
        <v>31884240</v>
      </c>
      <c r="E323" s="908"/>
      <c r="F323" s="908">
        <f>SUM(G323:G324)</f>
        <v>35371240</v>
      </c>
      <c r="G323" s="908">
        <f>+D323+D324</f>
        <v>35371240</v>
      </c>
      <c r="H323" s="912">
        <v>43355</v>
      </c>
      <c r="I323" s="908">
        <f>+D323+D324-F323</f>
        <v>0</v>
      </c>
      <c r="J323" s="949" t="s">
        <v>914</v>
      </c>
    </row>
    <row r="324" spans="1:10" ht="31.5">
      <c r="A324" s="555">
        <f t="shared" si="12"/>
        <v>27</v>
      </c>
      <c r="B324" s="921" t="s">
        <v>1203</v>
      </c>
      <c r="C324" s="497" t="s">
        <v>970</v>
      </c>
      <c r="D324" s="900">
        <v>3487000</v>
      </c>
      <c r="E324" s="922"/>
      <c r="F324" s="922"/>
      <c r="G324" s="922"/>
      <c r="H324" s="923"/>
      <c r="I324" s="922"/>
      <c r="J324" s="950"/>
    </row>
    <row r="325" spans="1:10" ht="31.5">
      <c r="A325" s="555">
        <f t="shared" si="12"/>
        <v>28</v>
      </c>
      <c r="B325" s="953" t="s">
        <v>1204</v>
      </c>
      <c r="C325" s="497" t="s">
        <v>970</v>
      </c>
      <c r="D325" s="900">
        <v>495000</v>
      </c>
      <c r="E325" s="908"/>
      <c r="F325" s="908">
        <f>SUM(G325:G326)</f>
        <v>2355000</v>
      </c>
      <c r="G325" s="908">
        <f>+D325+D326</f>
        <v>2355000</v>
      </c>
      <c r="H325" s="912">
        <v>43355</v>
      </c>
      <c r="I325" s="908">
        <f>+D325+D326-F325</f>
        <v>0</v>
      </c>
      <c r="J325" s="949" t="s">
        <v>914</v>
      </c>
    </row>
    <row r="326" spans="1:10" ht="31.5">
      <c r="A326" s="555">
        <f t="shared" si="12"/>
        <v>29</v>
      </c>
      <c r="B326" s="921" t="s">
        <v>1205</v>
      </c>
      <c r="C326" s="497" t="s">
        <v>1187</v>
      </c>
      <c r="D326" s="900">
        <v>1860000</v>
      </c>
      <c r="E326" s="922"/>
      <c r="F326" s="922"/>
      <c r="G326" s="922"/>
      <c r="H326" s="923"/>
      <c r="I326" s="922"/>
      <c r="J326" s="950"/>
    </row>
    <row r="327" spans="1:10">
      <c r="A327" s="954"/>
      <c r="B327" s="494"/>
      <c r="C327" s="955"/>
      <c r="D327" s="956"/>
      <c r="E327" s="956"/>
      <c r="F327" s="956"/>
      <c r="G327" s="956"/>
      <c r="H327" s="957"/>
      <c r="I327" s="956"/>
      <c r="J327" s="956"/>
    </row>
    <row r="328" spans="1:10">
      <c r="A328" s="954"/>
      <c r="B328" s="494"/>
      <c r="C328" s="955"/>
      <c r="D328" s="956"/>
      <c r="E328" s="956"/>
      <c r="F328" s="956"/>
      <c r="G328" s="956"/>
      <c r="H328" s="957"/>
      <c r="I328" s="956"/>
      <c r="J328" s="956"/>
    </row>
    <row r="329" spans="1:10" ht="63">
      <c r="A329" s="536" t="s">
        <v>1011</v>
      </c>
      <c r="B329" s="904" t="s">
        <v>982</v>
      </c>
      <c r="C329" s="958" t="s">
        <v>983</v>
      </c>
      <c r="D329" s="906">
        <f t="shared" ref="D329:I329" si="13">SUM(D330:D332)</f>
        <v>6427000</v>
      </c>
      <c r="E329" s="906">
        <f t="shared" si="13"/>
        <v>0</v>
      </c>
      <c r="F329" s="906">
        <f t="shared" si="13"/>
        <v>0</v>
      </c>
      <c r="G329" s="906">
        <f t="shared" si="13"/>
        <v>0</v>
      </c>
      <c r="H329" s="906">
        <f t="shared" si="13"/>
        <v>0</v>
      </c>
      <c r="I329" s="906">
        <f t="shared" si="13"/>
        <v>6427000</v>
      </c>
      <c r="J329" s="992" t="s">
        <v>963</v>
      </c>
    </row>
    <row r="330" spans="1:10" ht="31.5">
      <c r="A330" s="555">
        <v>30</v>
      </c>
      <c r="B330" s="898" t="s">
        <v>1206</v>
      </c>
      <c r="C330" s="497" t="s">
        <v>970</v>
      </c>
      <c r="D330" s="900">
        <v>200000</v>
      </c>
      <c r="E330" s="900"/>
      <c r="F330" s="900">
        <f>+G330</f>
        <v>0</v>
      </c>
      <c r="G330" s="900"/>
      <c r="H330" s="829"/>
      <c r="I330" s="900">
        <f>+D330-F330</f>
        <v>200000</v>
      </c>
      <c r="J330" s="993" t="s">
        <v>974</v>
      </c>
    </row>
    <row r="331" spans="1:10" ht="31.5">
      <c r="A331" s="555">
        <f>A330+1</f>
        <v>31</v>
      </c>
      <c r="B331" s="907" t="s">
        <v>1207</v>
      </c>
      <c r="C331" s="497" t="s">
        <v>968</v>
      </c>
      <c r="D331" s="900">
        <v>5000000</v>
      </c>
      <c r="E331" s="900"/>
      <c r="F331" s="900">
        <f>+G331</f>
        <v>0</v>
      </c>
      <c r="G331" s="900"/>
      <c r="H331" s="829"/>
      <c r="I331" s="900">
        <f>+D331-F331</f>
        <v>5000000</v>
      </c>
      <c r="J331" s="993" t="s">
        <v>974</v>
      </c>
    </row>
    <row r="332" spans="1:10" ht="31.5">
      <c r="A332" s="555">
        <f>A331+1</f>
        <v>32</v>
      </c>
      <c r="B332" s="907" t="s">
        <v>1208</v>
      </c>
      <c r="C332" s="497" t="s">
        <v>970</v>
      </c>
      <c r="D332" s="900">
        <v>1227000</v>
      </c>
      <c r="E332" s="900"/>
      <c r="F332" s="900">
        <f>+G332</f>
        <v>0</v>
      </c>
      <c r="G332" s="900"/>
      <c r="H332" s="829"/>
      <c r="I332" s="900">
        <f>+D332-F332</f>
        <v>1227000</v>
      </c>
      <c r="J332" s="993" t="s">
        <v>974</v>
      </c>
    </row>
    <row r="333" spans="1:10">
      <c r="A333" s="481"/>
      <c r="B333" s="902"/>
      <c r="C333" s="902"/>
      <c r="D333" s="903"/>
      <c r="E333" s="490"/>
      <c r="F333" s="491"/>
      <c r="G333" s="491"/>
      <c r="H333" s="490"/>
      <c r="I333" s="493"/>
      <c r="J333" s="602"/>
    </row>
    <row r="334" spans="1:10" ht="47.25">
      <c r="A334" s="536" t="s">
        <v>1024</v>
      </c>
      <c r="B334" s="904" t="s">
        <v>1209</v>
      </c>
      <c r="C334" s="905" t="s">
        <v>1210</v>
      </c>
      <c r="D334" s="906">
        <f>SUM(D335:D337)</f>
        <v>3660000</v>
      </c>
      <c r="E334" s="906"/>
      <c r="F334" s="906">
        <f>SUM(F335:F337)</f>
        <v>3000000</v>
      </c>
      <c r="G334" s="906">
        <f>SUM(G335:G337)</f>
        <v>3000000</v>
      </c>
      <c r="H334" s="906"/>
      <c r="I334" s="906">
        <f>SUM(I335:I337)</f>
        <v>660000</v>
      </c>
      <c r="J334" s="619" t="s">
        <v>963</v>
      </c>
    </row>
    <row r="335" spans="1:10">
      <c r="A335" s="959">
        <v>33</v>
      </c>
      <c r="B335" s="2019" t="s">
        <v>1211</v>
      </c>
      <c r="C335" s="871" t="s">
        <v>1212</v>
      </c>
      <c r="D335" s="881">
        <v>3660000</v>
      </c>
      <c r="E335" s="909"/>
      <c r="F335" s="910">
        <f>SUM(G335:G337)</f>
        <v>3000000</v>
      </c>
      <c r="G335" s="920">
        <v>2160000</v>
      </c>
      <c r="H335" s="829">
        <v>43314</v>
      </c>
      <c r="I335" s="942">
        <f>+D335-F335</f>
        <v>660000</v>
      </c>
      <c r="J335" s="994" t="s">
        <v>974</v>
      </c>
    </row>
    <row r="336" spans="1:10">
      <c r="A336" s="960"/>
      <c r="B336" s="2020"/>
      <c r="C336" s="961"/>
      <c r="D336" s="961"/>
      <c r="E336" s="961"/>
      <c r="F336" s="962"/>
      <c r="G336" s="920">
        <v>360000</v>
      </c>
      <c r="H336" s="829">
        <v>43313</v>
      </c>
      <c r="I336" s="878"/>
      <c r="J336" s="995"/>
    </row>
    <row r="337" spans="1:10">
      <c r="A337" s="869"/>
      <c r="B337" s="478"/>
      <c r="C337" s="927"/>
      <c r="D337" s="915"/>
      <c r="E337" s="915"/>
      <c r="F337" s="963"/>
      <c r="G337" s="920">
        <v>480000</v>
      </c>
      <c r="H337" s="829">
        <v>43313</v>
      </c>
      <c r="I337" s="996"/>
      <c r="J337" s="997"/>
    </row>
    <row r="338" spans="1:10">
      <c r="A338" s="481"/>
      <c r="B338" s="902"/>
      <c r="C338" s="902"/>
      <c r="D338" s="903"/>
      <c r="E338" s="490"/>
      <c r="F338" s="491"/>
      <c r="G338" s="491"/>
      <c r="H338" s="490"/>
      <c r="I338" s="493"/>
      <c r="J338" s="602"/>
    </row>
    <row r="339" spans="1:10" ht="63">
      <c r="A339" s="964" t="s">
        <v>1034</v>
      </c>
      <c r="B339" s="965" t="s">
        <v>1213</v>
      </c>
      <c r="C339" s="966" t="s">
        <v>1214</v>
      </c>
      <c r="D339" s="967">
        <f>SUM(D340:D349)</f>
        <v>39727800</v>
      </c>
      <c r="E339" s="967"/>
      <c r="F339" s="967">
        <f>SUM(F340:F349)</f>
        <v>37927800</v>
      </c>
      <c r="G339" s="967">
        <f>SUM(G340:G349)</f>
        <v>37927800</v>
      </c>
      <c r="H339" s="967"/>
      <c r="I339" s="967">
        <f>SUM(I340:I349)</f>
        <v>1800000</v>
      </c>
      <c r="J339" s="998" t="s">
        <v>963</v>
      </c>
    </row>
    <row r="340" spans="1:10" ht="31.5">
      <c r="A340" s="586">
        <v>34</v>
      </c>
      <c r="B340" s="968" t="s">
        <v>1215</v>
      </c>
      <c r="C340" s="969" t="s">
        <v>970</v>
      </c>
      <c r="D340" s="970">
        <v>300000</v>
      </c>
      <c r="E340" s="970"/>
      <c r="F340" s="970">
        <f>+G340</f>
        <v>300000</v>
      </c>
      <c r="G340" s="970">
        <v>300000</v>
      </c>
      <c r="H340" s="868">
        <v>43342</v>
      </c>
      <c r="I340" s="970">
        <f>+D340-F340</f>
        <v>0</v>
      </c>
      <c r="J340" s="999" t="s">
        <v>914</v>
      </c>
    </row>
    <row r="341" spans="1:10" ht="31.5">
      <c r="A341" s="555">
        <f>A340+1</f>
        <v>35</v>
      </c>
      <c r="B341" s="898" t="s">
        <v>1216</v>
      </c>
      <c r="C341" s="497" t="s">
        <v>972</v>
      </c>
      <c r="D341" s="900">
        <v>16540000</v>
      </c>
      <c r="E341" s="900"/>
      <c r="F341" s="900">
        <f t="shared" ref="F341:F349" si="14">+G341</f>
        <v>16540000</v>
      </c>
      <c r="G341" s="900">
        <v>16540000</v>
      </c>
      <c r="H341" s="829">
        <v>43322</v>
      </c>
      <c r="I341" s="900">
        <f t="shared" ref="I341:I349" si="15">+D341-F341</f>
        <v>0</v>
      </c>
      <c r="J341" s="1000" t="s">
        <v>914</v>
      </c>
    </row>
    <row r="342" spans="1:10" ht="31.5">
      <c r="A342" s="555">
        <f t="shared" ref="A342:A349" si="16">A341+1</f>
        <v>36</v>
      </c>
      <c r="B342" s="971" t="s">
        <v>1217</v>
      </c>
      <c r="C342" s="497" t="s">
        <v>1187</v>
      </c>
      <c r="D342" s="900">
        <v>5720000</v>
      </c>
      <c r="E342" s="900"/>
      <c r="F342" s="900">
        <f t="shared" si="14"/>
        <v>5720000</v>
      </c>
      <c r="G342" s="900">
        <v>5720000</v>
      </c>
      <c r="H342" s="829">
        <v>43314</v>
      </c>
      <c r="I342" s="900">
        <f t="shared" si="15"/>
        <v>0</v>
      </c>
      <c r="J342" s="1000" t="s">
        <v>914</v>
      </c>
    </row>
    <row r="343" spans="1:10" ht="31.5">
      <c r="A343" s="555">
        <f t="shared" si="16"/>
        <v>37</v>
      </c>
      <c r="B343" s="1501" t="s">
        <v>1218</v>
      </c>
      <c r="C343" s="497"/>
      <c r="D343" s="900">
        <v>1800000</v>
      </c>
      <c r="E343" s="900"/>
      <c r="F343" s="900">
        <f t="shared" si="14"/>
        <v>0</v>
      </c>
      <c r="G343" s="900"/>
      <c r="H343" s="829"/>
      <c r="I343" s="900">
        <f t="shared" si="15"/>
        <v>1800000</v>
      </c>
      <c r="J343" s="994" t="s">
        <v>974</v>
      </c>
    </row>
    <row r="344" spans="1:10" ht="47.25">
      <c r="A344" s="555">
        <f t="shared" si="16"/>
        <v>38</v>
      </c>
      <c r="B344" s="907" t="s">
        <v>1219</v>
      </c>
      <c r="C344" s="497"/>
      <c r="D344" s="900">
        <v>300000</v>
      </c>
      <c r="E344" s="900"/>
      <c r="F344" s="900">
        <f t="shared" si="14"/>
        <v>300000</v>
      </c>
      <c r="G344" s="900">
        <v>300000</v>
      </c>
      <c r="H344" s="829">
        <v>43319</v>
      </c>
      <c r="I344" s="900">
        <f t="shared" si="15"/>
        <v>0</v>
      </c>
      <c r="J344" s="1000" t="s">
        <v>914</v>
      </c>
    </row>
    <row r="345" spans="1:10" ht="31.5">
      <c r="A345" s="555">
        <f t="shared" si="16"/>
        <v>39</v>
      </c>
      <c r="B345" s="973" t="s">
        <v>1220</v>
      </c>
      <c r="C345" s="497"/>
      <c r="D345" s="900">
        <v>3948000</v>
      </c>
      <c r="E345" s="900"/>
      <c r="F345" s="900">
        <f t="shared" si="14"/>
        <v>3948000</v>
      </c>
      <c r="G345" s="900">
        <v>3948000</v>
      </c>
      <c r="H345" s="829">
        <v>43339</v>
      </c>
      <c r="I345" s="900">
        <f t="shared" si="15"/>
        <v>0</v>
      </c>
      <c r="J345" s="1000" t="s">
        <v>914</v>
      </c>
    </row>
    <row r="346" spans="1:10" ht="31.5">
      <c r="A346" s="555">
        <f t="shared" si="16"/>
        <v>40</v>
      </c>
      <c r="B346" s="898" t="s">
        <v>1221</v>
      </c>
      <c r="C346" s="497"/>
      <c r="D346" s="900">
        <v>5640000</v>
      </c>
      <c r="E346" s="900"/>
      <c r="F346" s="900">
        <f t="shared" si="14"/>
        <v>5640000</v>
      </c>
      <c r="G346" s="974">
        <v>5640000</v>
      </c>
      <c r="H346" s="930">
        <v>43313</v>
      </c>
      <c r="I346" s="900">
        <f t="shared" si="15"/>
        <v>0</v>
      </c>
      <c r="J346" s="1000" t="s">
        <v>914</v>
      </c>
    </row>
    <row r="347" spans="1:10" ht="47.25">
      <c r="A347" s="555">
        <f t="shared" si="16"/>
        <v>41</v>
      </c>
      <c r="B347" s="973" t="s">
        <v>1222</v>
      </c>
      <c r="C347" s="497"/>
      <c r="D347" s="900">
        <v>179800</v>
      </c>
      <c r="E347" s="900"/>
      <c r="F347" s="900">
        <f t="shared" si="14"/>
        <v>179800</v>
      </c>
      <c r="G347" s="900">
        <v>179800</v>
      </c>
      <c r="H347" s="829">
        <v>43313</v>
      </c>
      <c r="I347" s="900">
        <f t="shared" si="15"/>
        <v>0</v>
      </c>
      <c r="J347" s="1000" t="s">
        <v>914</v>
      </c>
    </row>
    <row r="348" spans="1:10" ht="31.5">
      <c r="A348" s="555">
        <f t="shared" si="16"/>
        <v>42</v>
      </c>
      <c r="B348" s="1501" t="s">
        <v>1223</v>
      </c>
      <c r="C348" s="900"/>
      <c r="D348" s="900">
        <v>4800000</v>
      </c>
      <c r="E348" s="900"/>
      <c r="F348" s="900">
        <f t="shared" si="14"/>
        <v>4800000</v>
      </c>
      <c r="G348" s="900">
        <v>4800000</v>
      </c>
      <c r="H348" s="829">
        <v>43313</v>
      </c>
      <c r="I348" s="900">
        <f t="shared" si="15"/>
        <v>0</v>
      </c>
      <c r="J348" s="1000" t="s">
        <v>914</v>
      </c>
    </row>
    <row r="349" spans="1:10" ht="31.5">
      <c r="A349" s="555">
        <f t="shared" si="16"/>
        <v>43</v>
      </c>
      <c r="B349" s="907" t="s">
        <v>1224</v>
      </c>
      <c r="C349" s="975"/>
      <c r="D349" s="976">
        <v>500000</v>
      </c>
      <c r="E349" s="975"/>
      <c r="F349" s="900">
        <f t="shared" si="14"/>
        <v>500000</v>
      </c>
      <c r="G349" s="977">
        <v>500000</v>
      </c>
      <c r="H349" s="978">
        <v>43315</v>
      </c>
      <c r="I349" s="900">
        <f t="shared" si="15"/>
        <v>0</v>
      </c>
      <c r="J349" s="1000" t="s">
        <v>914</v>
      </c>
    </row>
    <row r="350" spans="1:10">
      <c r="A350" s="954"/>
      <c r="B350" s="826"/>
      <c r="C350" s="490"/>
      <c r="D350" s="491"/>
      <c r="E350" s="490"/>
      <c r="F350" s="956"/>
      <c r="G350" s="979"/>
      <c r="H350" s="980"/>
      <c r="I350" s="956"/>
      <c r="J350" s="979"/>
    </row>
    <row r="351" spans="1:10">
      <c r="A351" s="954"/>
      <c r="B351" s="826"/>
      <c r="C351" s="490"/>
      <c r="D351" s="491"/>
      <c r="E351" s="490"/>
      <c r="F351" s="956"/>
      <c r="G351" s="979"/>
      <c r="H351" s="980"/>
      <c r="I351" s="956"/>
      <c r="J351" s="979"/>
    </row>
    <row r="352" spans="1:10">
      <c r="A352" s="981"/>
      <c r="B352" s="490"/>
      <c r="C352" s="490"/>
      <c r="D352" s="491"/>
      <c r="E352" s="490"/>
      <c r="F352" s="491"/>
      <c r="G352" s="491"/>
      <c r="H352" s="490"/>
      <c r="I352" s="493"/>
      <c r="J352" s="490"/>
    </row>
    <row r="353" spans="1:10" ht="47.25">
      <c r="A353" s="982" t="s">
        <v>1042</v>
      </c>
      <c r="B353" s="904" t="s">
        <v>987</v>
      </c>
      <c r="C353" s="958" t="s">
        <v>988</v>
      </c>
      <c r="D353" s="983">
        <f>SUM(D354:D362)</f>
        <v>40769000</v>
      </c>
      <c r="E353" s="983"/>
      <c r="F353" s="983">
        <f>SUM(F354:F362)</f>
        <v>40769000</v>
      </c>
      <c r="G353" s="983">
        <f>SUM(G354:G362)</f>
        <v>40769000</v>
      </c>
      <c r="H353" s="983"/>
      <c r="I353" s="983">
        <f>SUM(I354:I362)</f>
        <v>0</v>
      </c>
      <c r="J353" s="612" t="s">
        <v>957</v>
      </c>
    </row>
    <row r="354" spans="1:10" ht="31.5">
      <c r="A354" s="481">
        <v>44</v>
      </c>
      <c r="B354" s="926" t="s">
        <v>1225</v>
      </c>
      <c r="C354" s="927" t="s">
        <v>996</v>
      </c>
      <c r="D354" s="915">
        <v>760000</v>
      </c>
      <c r="E354" s="976"/>
      <c r="F354" s="976">
        <f t="shared" ref="F354:F362" si="17">+G354</f>
        <v>760000</v>
      </c>
      <c r="G354" s="915">
        <v>760000</v>
      </c>
      <c r="H354" s="829">
        <v>43342</v>
      </c>
      <c r="I354" s="976">
        <f t="shared" ref="I354:I362" si="18">+D354-F354</f>
        <v>0</v>
      </c>
      <c r="J354" s="1000" t="s">
        <v>914</v>
      </c>
    </row>
    <row r="355" spans="1:10" ht="31.5">
      <c r="A355" s="481">
        <f>A354+1</f>
        <v>45</v>
      </c>
      <c r="B355" s="926" t="s">
        <v>1226</v>
      </c>
      <c r="C355" s="927" t="s">
        <v>1004</v>
      </c>
      <c r="D355" s="915">
        <v>1700000</v>
      </c>
      <c r="E355" s="976"/>
      <c r="F355" s="976">
        <f t="shared" si="17"/>
        <v>1700000</v>
      </c>
      <c r="G355" s="915">
        <v>1700000</v>
      </c>
      <c r="H355" s="829">
        <v>43342</v>
      </c>
      <c r="I355" s="976">
        <f t="shared" si="18"/>
        <v>0</v>
      </c>
      <c r="J355" s="1000" t="s">
        <v>914</v>
      </c>
    </row>
    <row r="356" spans="1:10" ht="31.5">
      <c r="A356" s="481">
        <f t="shared" ref="A356:A362" si="19">A355+1</f>
        <v>46</v>
      </c>
      <c r="B356" s="926" t="s">
        <v>1227</v>
      </c>
      <c r="C356" s="927" t="s">
        <v>990</v>
      </c>
      <c r="D356" s="915">
        <v>3430000</v>
      </c>
      <c r="E356" s="976"/>
      <c r="F356" s="976">
        <f t="shared" si="17"/>
        <v>3430000</v>
      </c>
      <c r="G356" s="915">
        <v>3430000</v>
      </c>
      <c r="H356" s="829">
        <v>43336</v>
      </c>
      <c r="I356" s="976">
        <f t="shared" si="18"/>
        <v>0</v>
      </c>
      <c r="J356" s="678"/>
    </row>
    <row r="357" spans="1:10" ht="31.5">
      <c r="A357" s="481">
        <f t="shared" si="19"/>
        <v>47</v>
      </c>
      <c r="B357" s="926" t="s">
        <v>1228</v>
      </c>
      <c r="C357" s="927" t="s">
        <v>996</v>
      </c>
      <c r="D357" s="915">
        <v>1200000</v>
      </c>
      <c r="E357" s="976"/>
      <c r="F357" s="976">
        <f t="shared" si="17"/>
        <v>1200000</v>
      </c>
      <c r="G357" s="915">
        <v>1200000</v>
      </c>
      <c r="H357" s="829">
        <v>43336</v>
      </c>
      <c r="I357" s="976">
        <f t="shared" si="18"/>
        <v>0</v>
      </c>
      <c r="J357" s="678"/>
    </row>
    <row r="358" spans="1:10" ht="31.5">
      <c r="A358" s="481">
        <f t="shared" si="19"/>
        <v>48</v>
      </c>
      <c r="B358" s="926" t="s">
        <v>1229</v>
      </c>
      <c r="C358" s="927" t="s">
        <v>990</v>
      </c>
      <c r="D358" s="915">
        <v>1008000</v>
      </c>
      <c r="E358" s="976"/>
      <c r="F358" s="976">
        <f t="shared" si="17"/>
        <v>1008000</v>
      </c>
      <c r="G358" s="915">
        <v>1008000</v>
      </c>
      <c r="H358" s="829">
        <v>43356</v>
      </c>
      <c r="I358" s="976">
        <f t="shared" si="18"/>
        <v>0</v>
      </c>
      <c r="J358" s="678"/>
    </row>
    <row r="359" spans="1:10" ht="31.5">
      <c r="A359" s="481">
        <f t="shared" si="19"/>
        <v>49</v>
      </c>
      <c r="B359" s="926" t="s">
        <v>1230</v>
      </c>
      <c r="C359" s="927" t="s">
        <v>990</v>
      </c>
      <c r="D359" s="915">
        <v>20136000</v>
      </c>
      <c r="E359" s="976"/>
      <c r="F359" s="976">
        <f t="shared" si="17"/>
        <v>20136000</v>
      </c>
      <c r="G359" s="915">
        <v>20136000</v>
      </c>
      <c r="H359" s="829">
        <v>43356</v>
      </c>
      <c r="I359" s="976">
        <f t="shared" si="18"/>
        <v>0</v>
      </c>
      <c r="J359" s="678"/>
    </row>
    <row r="360" spans="1:10" ht="31.5">
      <c r="A360" s="481">
        <f t="shared" si="19"/>
        <v>50</v>
      </c>
      <c r="B360" s="984" t="s">
        <v>1231</v>
      </c>
      <c r="C360" s="927" t="s">
        <v>990</v>
      </c>
      <c r="D360" s="963">
        <v>1975000</v>
      </c>
      <c r="E360" s="976"/>
      <c r="F360" s="976">
        <f t="shared" si="17"/>
        <v>1975000</v>
      </c>
      <c r="G360" s="963">
        <v>1975000</v>
      </c>
      <c r="H360" s="978">
        <v>43340</v>
      </c>
      <c r="I360" s="976">
        <f t="shared" si="18"/>
        <v>0</v>
      </c>
      <c r="J360" s="1001"/>
    </row>
    <row r="361" spans="1:10" ht="31.5">
      <c r="A361" s="481">
        <f t="shared" si="19"/>
        <v>51</v>
      </c>
      <c r="B361" s="926" t="s">
        <v>1232</v>
      </c>
      <c r="C361" s="927" t="s">
        <v>1004</v>
      </c>
      <c r="D361" s="915">
        <v>3840000</v>
      </c>
      <c r="E361" s="976"/>
      <c r="F361" s="976">
        <f t="shared" si="17"/>
        <v>3840000</v>
      </c>
      <c r="G361" s="915">
        <v>3840000</v>
      </c>
      <c r="H361" s="978">
        <v>43340</v>
      </c>
      <c r="I361" s="976">
        <f t="shared" si="18"/>
        <v>0</v>
      </c>
      <c r="J361" s="678"/>
    </row>
    <row r="362" spans="1:10" ht="31.5">
      <c r="A362" s="481">
        <f t="shared" si="19"/>
        <v>52</v>
      </c>
      <c r="B362" s="926" t="s">
        <v>1233</v>
      </c>
      <c r="C362" s="927" t="s">
        <v>1010</v>
      </c>
      <c r="D362" s="915">
        <v>6720000</v>
      </c>
      <c r="E362" s="976"/>
      <c r="F362" s="976">
        <f t="shared" si="17"/>
        <v>6720000</v>
      </c>
      <c r="G362" s="915">
        <v>6720000</v>
      </c>
      <c r="H362" s="978">
        <v>43340</v>
      </c>
      <c r="I362" s="976">
        <f t="shared" si="18"/>
        <v>0</v>
      </c>
      <c r="J362" s="678"/>
    </row>
    <row r="363" spans="1:10">
      <c r="A363" s="823"/>
      <c r="B363" s="892"/>
      <c r="C363" s="892"/>
      <c r="D363" s="893"/>
      <c r="E363" s="892"/>
      <c r="F363" s="893"/>
      <c r="G363" s="893"/>
      <c r="H363" s="892"/>
      <c r="I363" s="1002"/>
      <c r="J363" s="1003"/>
    </row>
    <row r="364" spans="1:10" ht="31.5">
      <c r="A364" s="985" t="s">
        <v>1048</v>
      </c>
      <c r="B364" s="895" t="s">
        <v>190</v>
      </c>
      <c r="C364" s="896" t="s">
        <v>1008</v>
      </c>
      <c r="D364" s="986">
        <f>SUM(D365:D381)</f>
        <v>19787700</v>
      </c>
      <c r="E364" s="986"/>
      <c r="F364" s="986">
        <f>SUM(F365:F381)</f>
        <v>19787700</v>
      </c>
      <c r="G364" s="986">
        <f>SUM(G365:G381)</f>
        <v>19787700</v>
      </c>
      <c r="H364" s="986"/>
      <c r="I364" s="986">
        <f>SUM(I365:I381)</f>
        <v>0</v>
      </c>
      <c r="J364" s="940" t="s">
        <v>957</v>
      </c>
    </row>
    <row r="365" spans="1:10" ht="31.5">
      <c r="A365" s="481">
        <v>53</v>
      </c>
      <c r="B365" s="926" t="s">
        <v>1234</v>
      </c>
      <c r="C365" s="927" t="s">
        <v>990</v>
      </c>
      <c r="D365" s="915">
        <v>1300000</v>
      </c>
      <c r="E365" s="976"/>
      <c r="F365" s="976">
        <f>+G365</f>
        <v>1300000</v>
      </c>
      <c r="G365" s="915">
        <v>1300000</v>
      </c>
      <c r="H365" s="829">
        <v>43328</v>
      </c>
      <c r="I365" s="976">
        <f>+D365-F365</f>
        <v>0</v>
      </c>
      <c r="J365" s="1000" t="s">
        <v>914</v>
      </c>
    </row>
    <row r="366" spans="1:10" ht="31.5">
      <c r="A366" s="481">
        <f>A365+1</f>
        <v>54</v>
      </c>
      <c r="B366" s="926" t="s">
        <v>1235</v>
      </c>
      <c r="C366" s="927" t="s">
        <v>1004</v>
      </c>
      <c r="D366" s="915">
        <v>4165000</v>
      </c>
      <c r="E366" s="976"/>
      <c r="F366" s="976">
        <f>+G366</f>
        <v>4165000</v>
      </c>
      <c r="G366" s="915">
        <v>4165000</v>
      </c>
      <c r="H366" s="829">
        <v>43426</v>
      </c>
      <c r="I366" s="976">
        <f>+D366-F366</f>
        <v>0</v>
      </c>
      <c r="J366" s="1000" t="s">
        <v>914</v>
      </c>
    </row>
    <row r="367" spans="1:10">
      <c r="A367" s="481">
        <f>A366+1</f>
        <v>55</v>
      </c>
      <c r="B367" s="2014" t="s">
        <v>1236</v>
      </c>
      <c r="C367" s="987" t="s">
        <v>1237</v>
      </c>
      <c r="D367" s="988">
        <v>2035200</v>
      </c>
      <c r="E367" s="988"/>
      <c r="F367" s="988">
        <f>SUM(G367:G368)</f>
        <v>2035200</v>
      </c>
      <c r="G367" s="915">
        <v>1017600</v>
      </c>
      <c r="H367" s="829">
        <v>43325</v>
      </c>
      <c r="I367" s="988">
        <f>+D367-F367</f>
        <v>0</v>
      </c>
      <c r="J367" s="949" t="s">
        <v>914</v>
      </c>
    </row>
    <row r="368" spans="1:10">
      <c r="A368" s="869"/>
      <c r="B368" s="2016"/>
      <c r="C368" s="927"/>
      <c r="D368" s="915"/>
      <c r="E368" s="915"/>
      <c r="F368" s="915"/>
      <c r="G368" s="915">
        <v>1017600</v>
      </c>
      <c r="H368" s="829">
        <v>43325</v>
      </c>
      <c r="I368" s="915"/>
      <c r="J368" s="1004"/>
    </row>
    <row r="369" spans="1:10" ht="31.5">
      <c r="A369" s="823">
        <v>56</v>
      </c>
      <c r="B369" s="989" t="s">
        <v>1238</v>
      </c>
      <c r="C369" s="987" t="s">
        <v>1239</v>
      </c>
      <c r="D369" s="988">
        <v>2060000</v>
      </c>
      <c r="E369" s="988"/>
      <c r="F369" s="988">
        <f>SUM(G369:G371)</f>
        <v>2060000</v>
      </c>
      <c r="G369" s="915">
        <v>540000</v>
      </c>
      <c r="H369" s="829">
        <v>43251</v>
      </c>
      <c r="I369" s="988">
        <f>+D369-F369</f>
        <v>0</v>
      </c>
      <c r="J369" s="949" t="s">
        <v>914</v>
      </c>
    </row>
    <row r="370" spans="1:10">
      <c r="A370" s="830"/>
      <c r="B370" s="973"/>
      <c r="C370" s="825"/>
      <c r="D370" s="990"/>
      <c r="E370" s="990"/>
      <c r="F370" s="990"/>
      <c r="G370" s="915">
        <v>540000</v>
      </c>
      <c r="H370" s="829">
        <v>43281</v>
      </c>
      <c r="I370" s="990"/>
      <c r="J370" s="1005"/>
    </row>
    <row r="371" spans="1:10">
      <c r="A371" s="869"/>
      <c r="B371" s="984"/>
      <c r="C371" s="927"/>
      <c r="D371" s="915"/>
      <c r="E371" s="915"/>
      <c r="F371" s="915"/>
      <c r="G371" s="915">
        <v>980000</v>
      </c>
      <c r="H371" s="829">
        <v>43311</v>
      </c>
      <c r="I371" s="915"/>
      <c r="J371" s="682"/>
    </row>
    <row r="372" spans="1:10">
      <c r="A372" s="823">
        <v>57</v>
      </c>
      <c r="B372" s="2014" t="s">
        <v>1240</v>
      </c>
      <c r="C372" s="987" t="s">
        <v>1241</v>
      </c>
      <c r="D372" s="988">
        <v>10227500</v>
      </c>
      <c r="E372" s="988"/>
      <c r="F372" s="988">
        <f>SUM(G372:G381)</f>
        <v>10227500</v>
      </c>
      <c r="G372" s="915">
        <v>2280000</v>
      </c>
      <c r="H372" s="829">
        <v>43251</v>
      </c>
      <c r="I372" s="988">
        <f>+D372-F372</f>
        <v>0</v>
      </c>
      <c r="J372" s="949" t="s">
        <v>914</v>
      </c>
    </row>
    <row r="373" spans="1:10">
      <c r="A373" s="830"/>
      <c r="B373" s="2015"/>
      <c r="C373" s="825"/>
      <c r="D373" s="990"/>
      <c r="E373" s="990"/>
      <c r="F373" s="990"/>
      <c r="G373" s="915">
        <v>212500</v>
      </c>
      <c r="H373" s="829">
        <v>43257</v>
      </c>
      <c r="I373" s="990"/>
      <c r="J373" s="1006"/>
    </row>
    <row r="374" spans="1:10">
      <c r="A374" s="830"/>
      <c r="B374" s="973"/>
      <c r="C374" s="825"/>
      <c r="D374" s="990"/>
      <c r="E374" s="990"/>
      <c r="F374" s="990"/>
      <c r="G374" s="915">
        <v>485000</v>
      </c>
      <c r="H374" s="829">
        <v>43257</v>
      </c>
      <c r="I374" s="990"/>
      <c r="J374" s="1006"/>
    </row>
    <row r="375" spans="1:10">
      <c r="A375" s="830"/>
      <c r="B375" s="973"/>
      <c r="C375" s="825"/>
      <c r="D375" s="990"/>
      <c r="E375" s="990"/>
      <c r="F375" s="990"/>
      <c r="G375" s="915">
        <v>1140000</v>
      </c>
      <c r="H375" s="829">
        <v>43257</v>
      </c>
      <c r="I375" s="990"/>
      <c r="J375" s="1006"/>
    </row>
    <row r="376" spans="1:10">
      <c r="A376" s="830"/>
      <c r="B376" s="973"/>
      <c r="C376" s="825"/>
      <c r="D376" s="990"/>
      <c r="E376" s="990"/>
      <c r="F376" s="990"/>
      <c r="G376" s="915">
        <v>2595000</v>
      </c>
      <c r="H376" s="829">
        <v>43291</v>
      </c>
      <c r="I376" s="990"/>
      <c r="J376" s="1006"/>
    </row>
    <row r="377" spans="1:10">
      <c r="A377" s="830"/>
      <c r="B377" s="973"/>
      <c r="C377" s="825"/>
      <c r="D377" s="990"/>
      <c r="E377" s="990"/>
      <c r="F377" s="990"/>
      <c r="G377" s="915">
        <v>380000</v>
      </c>
      <c r="H377" s="829">
        <v>43306</v>
      </c>
      <c r="I377" s="990"/>
      <c r="J377" s="1006"/>
    </row>
    <row r="378" spans="1:10">
      <c r="A378" s="830"/>
      <c r="B378" s="973"/>
      <c r="C378" s="825"/>
      <c r="D378" s="990"/>
      <c r="E378" s="990"/>
      <c r="F378" s="990"/>
      <c r="G378" s="915">
        <v>855000</v>
      </c>
      <c r="H378" s="829">
        <v>43306</v>
      </c>
      <c r="I378" s="990"/>
      <c r="J378" s="1006"/>
    </row>
    <row r="379" spans="1:10">
      <c r="A379" s="830"/>
      <c r="B379" s="973"/>
      <c r="C379" s="825"/>
      <c r="D379" s="990"/>
      <c r="E379" s="990"/>
      <c r="F379" s="990"/>
      <c r="G379" s="915">
        <v>570000</v>
      </c>
      <c r="H379" s="829">
        <v>43307</v>
      </c>
      <c r="I379" s="990"/>
      <c r="J379" s="1006"/>
    </row>
    <row r="380" spans="1:10">
      <c r="A380" s="830"/>
      <c r="B380" s="973"/>
      <c r="C380" s="825"/>
      <c r="D380" s="990"/>
      <c r="E380" s="990"/>
      <c r="F380" s="990"/>
      <c r="G380" s="915">
        <v>855000</v>
      </c>
      <c r="H380" s="829">
        <v>43307</v>
      </c>
      <c r="I380" s="990"/>
      <c r="J380" s="1006"/>
    </row>
    <row r="381" spans="1:10">
      <c r="A381" s="869"/>
      <c r="B381" s="984"/>
      <c r="C381" s="927"/>
      <c r="D381" s="915"/>
      <c r="E381" s="915"/>
      <c r="F381" s="915"/>
      <c r="G381" s="915">
        <v>855000</v>
      </c>
      <c r="H381" s="829">
        <v>43307</v>
      </c>
      <c r="I381" s="915"/>
      <c r="J381" s="1004"/>
    </row>
    <row r="382" spans="1:10" ht="31.5">
      <c r="A382" s="982" t="s">
        <v>1057</v>
      </c>
      <c r="B382" s="904" t="s">
        <v>1012</v>
      </c>
      <c r="C382" s="905" t="s">
        <v>1013</v>
      </c>
      <c r="D382" s="991">
        <f>SUM(D383:D389)</f>
        <v>16600500</v>
      </c>
      <c r="E382" s="991"/>
      <c r="F382" s="991">
        <f>SUM(F383:F389)</f>
        <v>16600500</v>
      </c>
      <c r="G382" s="991">
        <f>SUM(G383:G389)</f>
        <v>16600500</v>
      </c>
      <c r="H382" s="991"/>
      <c r="I382" s="991">
        <f>SUM(I383:I389)</f>
        <v>0</v>
      </c>
      <c r="J382" s="612" t="s">
        <v>957</v>
      </c>
    </row>
    <row r="383" spans="1:10" ht="31.5">
      <c r="A383" s="481">
        <v>58</v>
      </c>
      <c r="B383" s="926" t="s">
        <v>1242</v>
      </c>
      <c r="C383" s="987" t="s">
        <v>1015</v>
      </c>
      <c r="D383" s="915">
        <v>1232500</v>
      </c>
      <c r="E383" s="988"/>
      <c r="F383" s="988">
        <f>+G383</f>
        <v>6850500</v>
      </c>
      <c r="G383" s="988">
        <f>+D383+D384</f>
        <v>6850500</v>
      </c>
      <c r="H383" s="912">
        <v>43342</v>
      </c>
      <c r="I383" s="988">
        <f>+D383+D384-F383</f>
        <v>0</v>
      </c>
      <c r="J383" s="949" t="s">
        <v>914</v>
      </c>
    </row>
    <row r="384" spans="1:10" ht="31.5">
      <c r="A384" s="481">
        <f t="shared" ref="A384:A389" si="20">A383+1</f>
        <v>59</v>
      </c>
      <c r="B384" s="926" t="s">
        <v>1243</v>
      </c>
      <c r="C384" s="987" t="s">
        <v>1019</v>
      </c>
      <c r="D384" s="915">
        <v>5618000</v>
      </c>
      <c r="E384" s="915"/>
      <c r="F384" s="915"/>
      <c r="G384" s="915"/>
      <c r="H384" s="923"/>
      <c r="I384" s="915"/>
      <c r="J384" s="1004"/>
    </row>
    <row r="385" spans="1:10" ht="47.25">
      <c r="A385" s="481">
        <f t="shared" si="20"/>
        <v>60</v>
      </c>
      <c r="B385" s="876" t="s">
        <v>1244</v>
      </c>
      <c r="C385" s="497" t="s">
        <v>1015</v>
      </c>
      <c r="D385" s="915">
        <v>4800000</v>
      </c>
      <c r="E385" s="915"/>
      <c r="F385" s="915">
        <f>+G385</f>
        <v>4800000</v>
      </c>
      <c r="G385" s="915">
        <v>4800000</v>
      </c>
      <c r="H385" s="829">
        <v>43342</v>
      </c>
      <c r="I385" s="915">
        <f>+D385-F385</f>
        <v>0</v>
      </c>
      <c r="J385" s="1000" t="s">
        <v>914</v>
      </c>
    </row>
    <row r="386" spans="1:10" ht="47.25">
      <c r="A386" s="481">
        <f t="shared" si="20"/>
        <v>61</v>
      </c>
      <c r="B386" s="876" t="s">
        <v>1245</v>
      </c>
      <c r="C386" s="497" t="s">
        <v>1015</v>
      </c>
      <c r="D386" s="915">
        <v>1250000</v>
      </c>
      <c r="E386" s="915"/>
      <c r="F386" s="915">
        <f>+G386</f>
        <v>1250000</v>
      </c>
      <c r="G386" s="915">
        <v>1250000</v>
      </c>
      <c r="H386" s="829">
        <v>43340</v>
      </c>
      <c r="I386" s="915">
        <f>+D386-F386</f>
        <v>0</v>
      </c>
      <c r="J386" s="1000" t="s">
        <v>914</v>
      </c>
    </row>
    <row r="387" spans="1:10" ht="31.5">
      <c r="A387" s="481">
        <f t="shared" si="20"/>
        <v>62</v>
      </c>
      <c r="B387" s="876" t="s">
        <v>1246</v>
      </c>
      <c r="C387" s="497" t="s">
        <v>1047</v>
      </c>
      <c r="D387" s="915">
        <v>1600000</v>
      </c>
      <c r="E387" s="829"/>
      <c r="F387" s="915">
        <f>+G387</f>
        <v>1600000</v>
      </c>
      <c r="G387" s="976">
        <v>1600000</v>
      </c>
      <c r="H387" s="829">
        <v>43336</v>
      </c>
      <c r="I387" s="915">
        <f>+D387-F387</f>
        <v>0</v>
      </c>
      <c r="J387" s="1000" t="s">
        <v>914</v>
      </c>
    </row>
    <row r="388" spans="1:10" ht="31.5">
      <c r="A388" s="481">
        <f t="shared" si="20"/>
        <v>63</v>
      </c>
      <c r="B388" s="886" t="s">
        <v>1247</v>
      </c>
      <c r="C388" s="1007" t="s">
        <v>1015</v>
      </c>
      <c r="D388" s="1008">
        <v>600000</v>
      </c>
      <c r="E388" s="1008"/>
      <c r="F388" s="1008">
        <f>+G388</f>
        <v>600000</v>
      </c>
      <c r="G388" s="1008">
        <v>600000</v>
      </c>
      <c r="H388" s="860">
        <v>43319</v>
      </c>
      <c r="I388" s="1008">
        <f>+D388-F388</f>
        <v>0</v>
      </c>
      <c r="J388" s="1038" t="s">
        <v>914</v>
      </c>
    </row>
    <row r="389" spans="1:10" ht="31.5">
      <c r="A389" s="481">
        <f t="shared" si="20"/>
        <v>64</v>
      </c>
      <c r="B389" s="890" t="s">
        <v>1248</v>
      </c>
      <c r="C389" s="969" t="s">
        <v>1015</v>
      </c>
      <c r="D389" s="1009">
        <v>1500000</v>
      </c>
      <c r="E389" s="1009"/>
      <c r="F389" s="1009">
        <f>+G389</f>
        <v>1500000</v>
      </c>
      <c r="G389" s="1009">
        <v>1500000</v>
      </c>
      <c r="H389" s="868">
        <v>43319</v>
      </c>
      <c r="I389" s="1009">
        <f>+D389-F389</f>
        <v>0</v>
      </c>
      <c r="J389" s="999" t="s">
        <v>914</v>
      </c>
    </row>
    <row r="390" spans="1:10">
      <c r="A390" s="481"/>
      <c r="B390" s="902"/>
      <c r="C390" s="902"/>
      <c r="D390" s="903"/>
      <c r="E390" s="902"/>
      <c r="F390" s="903"/>
      <c r="G390" s="903"/>
      <c r="H390" s="902"/>
      <c r="I390" s="1039"/>
      <c r="J390" s="1040"/>
    </row>
    <row r="391" spans="1:10" ht="31.5">
      <c r="A391" s="982" t="s">
        <v>1060</v>
      </c>
      <c r="B391" s="904" t="s">
        <v>168</v>
      </c>
      <c r="C391" s="905" t="s">
        <v>1249</v>
      </c>
      <c r="D391" s="991">
        <f>SUM(D392:D394)</f>
        <v>6741500</v>
      </c>
      <c r="E391" s="991"/>
      <c r="F391" s="991">
        <f>SUM(F392:F394)</f>
        <v>6741500</v>
      </c>
      <c r="G391" s="991">
        <f>SUM(G392:G394)</f>
        <v>6741500</v>
      </c>
      <c r="H391" s="991"/>
      <c r="I391" s="991">
        <f>SUM(I392:I394)</f>
        <v>0</v>
      </c>
      <c r="J391" s="612" t="s">
        <v>957</v>
      </c>
    </row>
    <row r="392" spans="1:10" ht="31.5">
      <c r="A392" s="481">
        <v>65</v>
      </c>
      <c r="B392" s="926" t="s">
        <v>1250</v>
      </c>
      <c r="C392" s="497" t="s">
        <v>1038</v>
      </c>
      <c r="D392" s="915">
        <v>3075000</v>
      </c>
      <c r="E392" s="976"/>
      <c r="F392" s="988">
        <f>+G392</f>
        <v>6741500</v>
      </c>
      <c r="G392" s="988">
        <v>6741500</v>
      </c>
      <c r="H392" s="912">
        <v>43349</v>
      </c>
      <c r="I392" s="988">
        <f>+D392+D393+D394-F392</f>
        <v>0</v>
      </c>
      <c r="J392" s="949" t="s">
        <v>914</v>
      </c>
    </row>
    <row r="393" spans="1:10" ht="31.5">
      <c r="A393" s="481">
        <f>A392+1</f>
        <v>66</v>
      </c>
      <c r="B393" s="870" t="s">
        <v>1251</v>
      </c>
      <c r="C393" s="497" t="s">
        <v>1047</v>
      </c>
      <c r="D393" s="915">
        <v>600000</v>
      </c>
      <c r="E393" s="976"/>
      <c r="F393" s="990"/>
      <c r="G393" s="990"/>
      <c r="H393" s="930"/>
      <c r="I393" s="990"/>
      <c r="J393" s="1041"/>
    </row>
    <row r="394" spans="1:10" ht="31.5">
      <c r="A394" s="917">
        <f>A393+1</f>
        <v>67</v>
      </c>
      <c r="B394" s="1010" t="s">
        <v>1252</v>
      </c>
      <c r="C394" s="1007" t="s">
        <v>1071</v>
      </c>
      <c r="D394" s="1008">
        <v>3066500</v>
      </c>
      <c r="E394" s="1008"/>
      <c r="F394" s="1011"/>
      <c r="G394" s="1011"/>
      <c r="H394" s="1012"/>
      <c r="I394" s="1011"/>
      <c r="J394" s="1042"/>
    </row>
    <row r="395" spans="1:10">
      <c r="A395" s="1013"/>
      <c r="B395" s="1014"/>
      <c r="C395" s="1014"/>
      <c r="D395" s="1015"/>
      <c r="E395" s="1014"/>
      <c r="F395" s="1015"/>
      <c r="G395" s="1015"/>
      <c r="H395" s="1014"/>
      <c r="I395" s="1043"/>
      <c r="J395" s="1044"/>
    </row>
    <row r="396" spans="1:10" ht="31.5">
      <c r="A396" s="982" t="s">
        <v>1066</v>
      </c>
      <c r="B396" s="904" t="s">
        <v>1253</v>
      </c>
      <c r="C396" s="905" t="s">
        <v>1254</v>
      </c>
      <c r="D396" s="991">
        <f>SUM(D397:D408)</f>
        <v>27487429</v>
      </c>
      <c r="E396" s="991"/>
      <c r="F396" s="991">
        <f>SUM(F397:F408)</f>
        <v>2691375</v>
      </c>
      <c r="G396" s="991">
        <f>SUM(G397:G408)</f>
        <v>2691375</v>
      </c>
      <c r="H396" s="991"/>
      <c r="I396" s="991">
        <f>SUM(I397:I408)</f>
        <v>24796054</v>
      </c>
      <c r="J396" s="619" t="s">
        <v>963</v>
      </c>
    </row>
    <row r="397" spans="1:10" ht="31.5">
      <c r="A397" s="481">
        <v>68</v>
      </c>
      <c r="B397" s="926" t="s">
        <v>1255</v>
      </c>
      <c r="C397" s="497" t="s">
        <v>1015</v>
      </c>
      <c r="D397" s="915">
        <v>4030504</v>
      </c>
      <c r="E397" s="976"/>
      <c r="F397" s="976">
        <f>+G397</f>
        <v>0</v>
      </c>
      <c r="G397" s="976">
        <v>0</v>
      </c>
      <c r="H397" s="829"/>
      <c r="I397" s="976">
        <f>+D397-F397</f>
        <v>4030504</v>
      </c>
      <c r="J397" s="1045" t="s">
        <v>974</v>
      </c>
    </row>
    <row r="398" spans="1:10" ht="31.5">
      <c r="A398" s="481">
        <f>A397+1</f>
        <v>69</v>
      </c>
      <c r="B398" s="1016" t="s">
        <v>1256</v>
      </c>
      <c r="C398" s="497" t="s">
        <v>1038</v>
      </c>
      <c r="D398" s="915">
        <v>740000</v>
      </c>
      <c r="E398" s="976"/>
      <c r="F398" s="976">
        <f>+G398</f>
        <v>0</v>
      </c>
      <c r="G398" s="976">
        <v>0</v>
      </c>
      <c r="H398" s="829"/>
      <c r="I398" s="976">
        <f>+D398-F398</f>
        <v>740000</v>
      </c>
      <c r="J398" s="1045" t="s">
        <v>974</v>
      </c>
    </row>
    <row r="399" spans="1:10" ht="47.25">
      <c r="A399" s="481">
        <f>A398+1</f>
        <v>70</v>
      </c>
      <c r="B399" s="479" t="s">
        <v>1257</v>
      </c>
      <c r="C399" s="497" t="s">
        <v>1047</v>
      </c>
      <c r="D399" s="976">
        <v>1000000</v>
      </c>
      <c r="E399" s="976"/>
      <c r="F399" s="976">
        <f>+G399</f>
        <v>0</v>
      </c>
      <c r="G399" s="976">
        <v>0</v>
      </c>
      <c r="H399" s="829"/>
      <c r="I399" s="976">
        <f>+D399-F399</f>
        <v>1000000</v>
      </c>
      <c r="J399" s="1045" t="s">
        <v>974</v>
      </c>
    </row>
    <row r="400" spans="1:10" ht="31.5">
      <c r="A400" s="481">
        <f>A399+1</f>
        <v>71</v>
      </c>
      <c r="B400" s="479" t="s">
        <v>1258</v>
      </c>
      <c r="C400" s="497" t="s">
        <v>1071</v>
      </c>
      <c r="D400" s="976">
        <v>150000</v>
      </c>
      <c r="E400" s="976"/>
      <c r="F400" s="976">
        <f>+G400</f>
        <v>0</v>
      </c>
      <c r="G400" s="976">
        <v>0</v>
      </c>
      <c r="H400" s="829"/>
      <c r="I400" s="976">
        <f>+D400-F400</f>
        <v>150000</v>
      </c>
      <c r="J400" s="1045" t="s">
        <v>974</v>
      </c>
    </row>
    <row r="401" spans="1:10" ht="31.5">
      <c r="A401" s="481">
        <f>A400+1</f>
        <v>72</v>
      </c>
      <c r="B401" s="881" t="s">
        <v>1259</v>
      </c>
      <c r="C401" s="987" t="s">
        <v>1056</v>
      </c>
      <c r="D401" s="988">
        <v>2590775</v>
      </c>
      <c r="E401" s="988"/>
      <c r="F401" s="988">
        <f>SUM(G401:G405)</f>
        <v>1391375</v>
      </c>
      <c r="G401" s="976">
        <v>462280</v>
      </c>
      <c r="H401" s="829">
        <v>43355</v>
      </c>
      <c r="I401" s="988">
        <f>+D401-F401</f>
        <v>1199400</v>
      </c>
      <c r="J401" s="1046" t="s">
        <v>974</v>
      </c>
    </row>
    <row r="402" spans="1:10">
      <c r="A402" s="1017"/>
      <c r="B402" s="990"/>
      <c r="C402" s="990"/>
      <c r="D402" s="990"/>
      <c r="E402" s="990"/>
      <c r="F402" s="990"/>
      <c r="G402" s="976">
        <v>276365</v>
      </c>
      <c r="H402" s="829">
        <v>43355</v>
      </c>
      <c r="I402" s="990"/>
      <c r="J402" s="1006"/>
    </row>
    <row r="403" spans="1:10">
      <c r="A403" s="1017"/>
      <c r="B403" s="990"/>
      <c r="C403" s="990"/>
      <c r="D403" s="990"/>
      <c r="E403" s="990"/>
      <c r="F403" s="990"/>
      <c r="G403" s="976">
        <v>276365</v>
      </c>
      <c r="H403" s="829">
        <v>43355</v>
      </c>
      <c r="I403" s="990"/>
      <c r="J403" s="1006"/>
    </row>
    <row r="404" spans="1:10">
      <c r="A404" s="1017"/>
      <c r="B404" s="990"/>
      <c r="C404" s="990"/>
      <c r="D404" s="990"/>
      <c r="E404" s="990"/>
      <c r="F404" s="990"/>
      <c r="G404" s="976">
        <v>276365</v>
      </c>
      <c r="H404" s="829">
        <v>43355</v>
      </c>
      <c r="I404" s="990"/>
      <c r="J404" s="1006"/>
    </row>
    <row r="405" spans="1:10">
      <c r="A405" s="1018"/>
      <c r="B405" s="915"/>
      <c r="C405" s="915"/>
      <c r="D405" s="915"/>
      <c r="E405" s="915"/>
      <c r="F405" s="915"/>
      <c r="G405" s="976">
        <v>100000</v>
      </c>
      <c r="H405" s="829">
        <v>43355</v>
      </c>
      <c r="I405" s="915"/>
      <c r="J405" s="1004"/>
    </row>
    <row r="406" spans="1:10" ht="31.5">
      <c r="A406" s="823">
        <v>73</v>
      </c>
      <c r="B406" s="479" t="s">
        <v>1260</v>
      </c>
      <c r="C406" s="987" t="s">
        <v>1041</v>
      </c>
      <c r="D406" s="976">
        <v>225000</v>
      </c>
      <c r="E406" s="976"/>
      <c r="F406" s="976">
        <f>+G406</f>
        <v>0</v>
      </c>
      <c r="G406" s="976">
        <v>0</v>
      </c>
      <c r="H406" s="976"/>
      <c r="I406" s="976">
        <f>+D406-F406</f>
        <v>225000</v>
      </c>
      <c r="J406" s="1047" t="s">
        <v>974</v>
      </c>
    </row>
    <row r="407" spans="1:10">
      <c r="A407" s="823">
        <v>74</v>
      </c>
      <c r="B407" s="2014" t="s">
        <v>1261</v>
      </c>
      <c r="C407" s="987" t="s">
        <v>1105</v>
      </c>
      <c r="D407" s="1019">
        <v>18751150</v>
      </c>
      <c r="E407" s="988"/>
      <c r="F407" s="910">
        <f>SUM(G407:G408)</f>
        <v>1300000</v>
      </c>
      <c r="G407" s="977">
        <v>1000000</v>
      </c>
      <c r="H407" s="1020">
        <v>43448</v>
      </c>
      <c r="I407" s="1048">
        <f>+D407-F407</f>
        <v>17451150</v>
      </c>
      <c r="J407" s="1046" t="s">
        <v>974</v>
      </c>
    </row>
    <row r="408" spans="1:10">
      <c r="A408" s="1018"/>
      <c r="B408" s="2016"/>
      <c r="C408" s="915"/>
      <c r="D408" s="915"/>
      <c r="E408" s="915"/>
      <c r="F408" s="915"/>
      <c r="G408" s="915">
        <v>300000</v>
      </c>
      <c r="H408" s="1020">
        <v>43448</v>
      </c>
      <c r="I408" s="915"/>
      <c r="J408" s="1004"/>
    </row>
    <row r="409" spans="1:10">
      <c r="A409" s="481"/>
      <c r="B409" s="902"/>
      <c r="C409" s="902"/>
      <c r="D409" s="903"/>
      <c r="E409" s="902"/>
      <c r="F409" s="903"/>
      <c r="G409" s="903"/>
      <c r="H409" s="902"/>
      <c r="I409" s="1039"/>
      <c r="J409" s="1040"/>
    </row>
    <row r="410" spans="1:10" ht="31.5">
      <c r="A410" s="982" t="s">
        <v>1072</v>
      </c>
      <c r="B410" s="904" t="s">
        <v>1262</v>
      </c>
      <c r="C410" s="905" t="s">
        <v>1263</v>
      </c>
      <c r="D410" s="991">
        <f>SUM(D411:D413)</f>
        <v>5065000</v>
      </c>
      <c r="E410" s="991"/>
      <c r="F410" s="991">
        <f>SUM(F411:F413)</f>
        <v>5065000</v>
      </c>
      <c r="G410" s="991">
        <f>SUM(G411:G413)</f>
        <v>5065000</v>
      </c>
      <c r="H410" s="991"/>
      <c r="I410" s="991">
        <f>SUM(I412:I413)</f>
        <v>0</v>
      </c>
      <c r="J410" s="612" t="s">
        <v>957</v>
      </c>
    </row>
    <row r="411" spans="1:10" ht="31.5">
      <c r="A411" s="823">
        <v>75</v>
      </c>
      <c r="B411" s="479" t="s">
        <v>1264</v>
      </c>
      <c r="C411" s="497" t="s">
        <v>1015</v>
      </c>
      <c r="D411" s="976">
        <v>1950000</v>
      </c>
      <c r="E411" s="976"/>
      <c r="F411" s="976">
        <f>+G411</f>
        <v>1950000</v>
      </c>
      <c r="G411" s="976">
        <v>1950000</v>
      </c>
      <c r="H411" s="829">
        <v>43341</v>
      </c>
      <c r="I411" s="1049">
        <f>+D411-F411</f>
        <v>0</v>
      </c>
      <c r="J411" s="1000" t="s">
        <v>914</v>
      </c>
    </row>
    <row r="412" spans="1:10" ht="31.5">
      <c r="A412" s="823">
        <v>76</v>
      </c>
      <c r="B412" s="479" t="s">
        <v>1265</v>
      </c>
      <c r="C412" s="497" t="s">
        <v>1019</v>
      </c>
      <c r="D412" s="976">
        <v>2095000</v>
      </c>
      <c r="E412" s="976"/>
      <c r="F412" s="976">
        <f>+G412</f>
        <v>2095000</v>
      </c>
      <c r="G412" s="976">
        <v>2095000</v>
      </c>
      <c r="H412" s="829">
        <v>43341</v>
      </c>
      <c r="I412" s="1049">
        <f>+D412-F412</f>
        <v>0</v>
      </c>
      <c r="J412" s="1000" t="s">
        <v>914</v>
      </c>
    </row>
    <row r="413" spans="1:10" ht="47.25">
      <c r="A413" s="823">
        <v>77</v>
      </c>
      <c r="B413" s="881" t="s">
        <v>1266</v>
      </c>
      <c r="C413" s="497" t="s">
        <v>1038</v>
      </c>
      <c r="D413" s="988">
        <v>1020000</v>
      </c>
      <c r="E413" s="988"/>
      <c r="F413" s="976">
        <f>+G413</f>
        <v>1020000</v>
      </c>
      <c r="G413" s="988">
        <v>1020000</v>
      </c>
      <c r="H413" s="829">
        <v>43341</v>
      </c>
      <c r="I413" s="1049">
        <f>+D413-F413</f>
        <v>0</v>
      </c>
      <c r="J413" s="1000" t="s">
        <v>914</v>
      </c>
    </row>
    <row r="414" spans="1:10">
      <c r="A414" s="823"/>
      <c r="B414" s="892"/>
      <c r="C414" s="892"/>
      <c r="D414" s="893"/>
      <c r="E414" s="892"/>
      <c r="F414" s="893"/>
      <c r="G414" s="893"/>
      <c r="H414" s="892"/>
      <c r="I414" s="1002"/>
      <c r="J414" s="1003"/>
    </row>
    <row r="415" spans="1:10" ht="31.5">
      <c r="A415" s="985" t="s">
        <v>1077</v>
      </c>
      <c r="B415" s="895" t="s">
        <v>185</v>
      </c>
      <c r="C415" s="896" t="s">
        <v>1026</v>
      </c>
      <c r="D415" s="986">
        <f>SUM(D416:D425)</f>
        <v>10180500</v>
      </c>
      <c r="E415" s="986">
        <f>SUM(E416:E425)</f>
        <v>0</v>
      </c>
      <c r="F415" s="986">
        <f>SUM(F416:F425)</f>
        <v>10180500</v>
      </c>
      <c r="G415" s="986">
        <f>SUM(G416:G425)</f>
        <v>10180500</v>
      </c>
      <c r="H415" s="986"/>
      <c r="I415" s="986">
        <f>SUM(I416:I425)</f>
        <v>0</v>
      </c>
      <c r="J415" s="940" t="s">
        <v>957</v>
      </c>
    </row>
    <row r="416" spans="1:10">
      <c r="A416" s="1021">
        <v>78</v>
      </c>
      <c r="B416" s="2021" t="s">
        <v>1267</v>
      </c>
      <c r="C416" s="987" t="s">
        <v>1056</v>
      </c>
      <c r="D416" s="988">
        <v>2100000</v>
      </c>
      <c r="E416" s="988"/>
      <c r="F416" s="988">
        <f>SUM(G416:G419)</f>
        <v>2100000</v>
      </c>
      <c r="G416" s="976">
        <v>900000</v>
      </c>
      <c r="H416" s="829">
        <v>43368</v>
      </c>
      <c r="I416" s="988">
        <f>+D416-F416</f>
        <v>0</v>
      </c>
      <c r="J416" s="949" t="s">
        <v>914</v>
      </c>
    </row>
    <row r="417" spans="1:10">
      <c r="A417" s="1021"/>
      <c r="B417" s="2022"/>
      <c r="C417" s="825"/>
      <c r="D417" s="990"/>
      <c r="E417" s="990"/>
      <c r="F417" s="990"/>
      <c r="G417" s="976">
        <v>75000</v>
      </c>
      <c r="H417" s="829">
        <v>43368</v>
      </c>
      <c r="I417" s="990"/>
      <c r="J417" s="1041"/>
    </row>
    <row r="418" spans="1:10">
      <c r="A418" s="1024"/>
      <c r="B418" s="495"/>
      <c r="C418" s="825"/>
      <c r="D418" s="990"/>
      <c r="E418" s="990"/>
      <c r="F418" s="990"/>
      <c r="G418" s="988">
        <v>300000</v>
      </c>
      <c r="H418" s="912">
        <v>43368</v>
      </c>
      <c r="I418" s="990"/>
      <c r="J418" s="1006"/>
    </row>
    <row r="419" spans="1:10">
      <c r="A419" s="1025"/>
      <c r="B419" s="1026"/>
      <c r="C419" s="1026"/>
      <c r="D419" s="1027"/>
      <c r="E419" s="1028"/>
      <c r="F419" s="1027"/>
      <c r="G419" s="1029">
        <v>825000</v>
      </c>
      <c r="H419" s="912">
        <v>43368</v>
      </c>
      <c r="I419" s="1028"/>
      <c r="J419" s="1050"/>
    </row>
    <row r="420" spans="1:10" ht="31.5">
      <c r="A420" s="1021">
        <v>79</v>
      </c>
      <c r="B420" s="479" t="s">
        <v>1268</v>
      </c>
      <c r="C420" s="497" t="s">
        <v>1041</v>
      </c>
      <c r="D420" s="976">
        <v>4000000</v>
      </c>
      <c r="E420" s="976"/>
      <c r="F420" s="976">
        <f>+G420</f>
        <v>4000000</v>
      </c>
      <c r="G420" s="976">
        <v>4000000</v>
      </c>
      <c r="H420" s="912">
        <v>43368</v>
      </c>
      <c r="I420" s="1049">
        <f>+D420-F420</f>
        <v>0</v>
      </c>
      <c r="J420" s="1000" t="s">
        <v>914</v>
      </c>
    </row>
    <row r="421" spans="1:10" ht="31.5">
      <c r="A421" s="1021">
        <v>80</v>
      </c>
      <c r="B421" s="479" t="s">
        <v>1269</v>
      </c>
      <c r="C421" s="497" t="s">
        <v>1105</v>
      </c>
      <c r="D421" s="976">
        <v>1520000</v>
      </c>
      <c r="E421" s="976"/>
      <c r="F421" s="976">
        <f>+G421</f>
        <v>1520000</v>
      </c>
      <c r="G421" s="976">
        <v>1520000</v>
      </c>
      <c r="H421" s="912">
        <v>43368</v>
      </c>
      <c r="I421" s="1049">
        <f>+D421-F421</f>
        <v>0</v>
      </c>
      <c r="J421" s="1000" t="s">
        <v>914</v>
      </c>
    </row>
    <row r="422" spans="1:10" ht="31.5">
      <c r="A422" s="1021">
        <v>81</v>
      </c>
      <c r="B422" s="479" t="s">
        <v>1270</v>
      </c>
      <c r="C422" s="497" t="s">
        <v>1271</v>
      </c>
      <c r="D422" s="976">
        <v>522500</v>
      </c>
      <c r="E422" s="976"/>
      <c r="F422" s="976">
        <f>+G422</f>
        <v>522500</v>
      </c>
      <c r="G422" s="976">
        <v>522500</v>
      </c>
      <c r="H422" s="912">
        <v>43368</v>
      </c>
      <c r="I422" s="1049">
        <f>+D422-F422</f>
        <v>0</v>
      </c>
      <c r="J422" s="1000" t="s">
        <v>914</v>
      </c>
    </row>
    <row r="423" spans="1:10" ht="31.5">
      <c r="A423" s="1021">
        <v>82</v>
      </c>
      <c r="B423" s="479" t="s">
        <v>1272</v>
      </c>
      <c r="C423" s="497" t="s">
        <v>1063</v>
      </c>
      <c r="D423" s="976">
        <v>400000</v>
      </c>
      <c r="E423" s="976"/>
      <c r="F423" s="976">
        <f>+G423</f>
        <v>400000</v>
      </c>
      <c r="G423" s="976">
        <v>400000</v>
      </c>
      <c r="H423" s="912">
        <v>43368</v>
      </c>
      <c r="I423" s="1049">
        <f>+D423-F423</f>
        <v>0</v>
      </c>
      <c r="J423" s="1000" t="s">
        <v>914</v>
      </c>
    </row>
    <row r="424" spans="1:10" ht="31.5">
      <c r="A424" s="1021">
        <v>83</v>
      </c>
      <c r="B424" s="479" t="s">
        <v>1273</v>
      </c>
      <c r="C424" s="497" t="s">
        <v>1065</v>
      </c>
      <c r="D424" s="976">
        <v>945000</v>
      </c>
      <c r="E424" s="976"/>
      <c r="F424" s="988">
        <f>+G424</f>
        <v>1638000</v>
      </c>
      <c r="G424" s="988">
        <f>+D424+D425</f>
        <v>1638000</v>
      </c>
      <c r="H424" s="912">
        <v>43368</v>
      </c>
      <c r="I424" s="1051">
        <f>+D424+D425-F424</f>
        <v>0</v>
      </c>
      <c r="J424" s="949" t="s">
        <v>914</v>
      </c>
    </row>
    <row r="425" spans="1:10" ht="31.5">
      <c r="A425" s="1021">
        <v>84</v>
      </c>
      <c r="B425" s="479" t="s">
        <v>1274</v>
      </c>
      <c r="C425" s="497" t="s">
        <v>1275</v>
      </c>
      <c r="D425" s="976">
        <v>693000</v>
      </c>
      <c r="E425" s="976"/>
      <c r="F425" s="915"/>
      <c r="G425" s="915"/>
      <c r="H425" s="923"/>
      <c r="I425" s="1052"/>
      <c r="J425" s="1053"/>
    </row>
    <row r="426" spans="1:10">
      <c r="A426" s="481"/>
      <c r="B426" s="902"/>
      <c r="C426" s="902"/>
      <c r="D426" s="903"/>
      <c r="E426" s="902"/>
      <c r="F426" s="903"/>
      <c r="G426" s="903"/>
      <c r="H426" s="902"/>
      <c r="I426" s="1039"/>
      <c r="J426" s="1040"/>
    </row>
    <row r="427" spans="1:10" ht="31.5">
      <c r="A427" s="982" t="s">
        <v>1082</v>
      </c>
      <c r="B427" s="904" t="s">
        <v>171</v>
      </c>
      <c r="C427" s="905" t="s">
        <v>1035</v>
      </c>
      <c r="D427" s="991">
        <f>SUM(D428:D434)</f>
        <v>16638000</v>
      </c>
      <c r="E427" s="991"/>
      <c r="F427" s="991">
        <f>SUM(F428:F434)</f>
        <v>11588000</v>
      </c>
      <c r="G427" s="991">
        <f>SUM(G428:G434)</f>
        <v>11588000</v>
      </c>
      <c r="H427" s="991"/>
      <c r="I427" s="991">
        <f>SUM(I428:I434)</f>
        <v>5050000</v>
      </c>
      <c r="J427" s="619" t="s">
        <v>963</v>
      </c>
    </row>
    <row r="428" spans="1:10">
      <c r="A428" s="869">
        <v>85</v>
      </c>
      <c r="B428" s="2021" t="s">
        <v>1276</v>
      </c>
      <c r="C428" s="987" t="s">
        <v>1047</v>
      </c>
      <c r="D428" s="988">
        <v>4840000</v>
      </c>
      <c r="E428" s="988"/>
      <c r="F428" s="988">
        <f>SUM(G428:G430)</f>
        <v>4840000</v>
      </c>
      <c r="G428" s="915">
        <v>1600000</v>
      </c>
      <c r="H428" s="829">
        <v>43341</v>
      </c>
      <c r="I428" s="988">
        <f>+D428-F428</f>
        <v>0</v>
      </c>
      <c r="J428" s="949" t="s">
        <v>914</v>
      </c>
    </row>
    <row r="429" spans="1:10">
      <c r="A429" s="869"/>
      <c r="B429" s="2022"/>
      <c r="C429" s="990"/>
      <c r="D429" s="990"/>
      <c r="E429" s="990"/>
      <c r="F429" s="990"/>
      <c r="G429" s="915">
        <v>2340000</v>
      </c>
      <c r="H429" s="829">
        <v>43341</v>
      </c>
      <c r="I429" s="990"/>
      <c r="J429" s="1041"/>
    </row>
    <row r="430" spans="1:10">
      <c r="A430" s="869"/>
      <c r="B430" s="876"/>
      <c r="C430" s="915"/>
      <c r="D430" s="915"/>
      <c r="E430" s="915"/>
      <c r="F430" s="915"/>
      <c r="G430" s="915">
        <v>900000</v>
      </c>
      <c r="H430" s="829">
        <v>43341</v>
      </c>
      <c r="I430" s="915"/>
      <c r="J430" s="1053"/>
    </row>
    <row r="431" spans="1:10" ht="31.5">
      <c r="A431" s="481">
        <v>86</v>
      </c>
      <c r="B431" s="479" t="s">
        <v>1277</v>
      </c>
      <c r="C431" s="497" t="s">
        <v>1071</v>
      </c>
      <c r="D431" s="976">
        <v>3300000</v>
      </c>
      <c r="E431" s="976"/>
      <c r="F431" s="976">
        <f>+G431</f>
        <v>0</v>
      </c>
      <c r="G431" s="976">
        <v>0</v>
      </c>
      <c r="H431" s="829"/>
      <c r="I431" s="976">
        <f>+D431-F431</f>
        <v>3300000</v>
      </c>
      <c r="J431" s="1054" t="s">
        <v>1278</v>
      </c>
    </row>
    <row r="432" spans="1:10" ht="31.5">
      <c r="A432" s="869">
        <v>87</v>
      </c>
      <c r="B432" s="2021" t="s">
        <v>1279</v>
      </c>
      <c r="C432" s="987" t="s">
        <v>1056</v>
      </c>
      <c r="D432" s="988">
        <v>8498000</v>
      </c>
      <c r="E432" s="988"/>
      <c r="F432" s="988">
        <f>SUM(G432:G434)</f>
        <v>6748000</v>
      </c>
      <c r="G432" s="915">
        <v>1288000</v>
      </c>
      <c r="H432" s="923">
        <v>43341</v>
      </c>
      <c r="I432" s="988">
        <f>+D432-F432</f>
        <v>1750000</v>
      </c>
      <c r="J432" s="1054" t="s">
        <v>1039</v>
      </c>
    </row>
    <row r="433" spans="1:10">
      <c r="A433" s="1030"/>
      <c r="B433" s="2022"/>
      <c r="C433" s="930"/>
      <c r="D433" s="990"/>
      <c r="E433" s="930"/>
      <c r="F433" s="990"/>
      <c r="G433" s="976">
        <v>4760000</v>
      </c>
      <c r="H433" s="829">
        <v>43341</v>
      </c>
      <c r="I433" s="878"/>
      <c r="J433" s="1055"/>
    </row>
    <row r="434" spans="1:10">
      <c r="A434" s="1031"/>
      <c r="B434" s="915"/>
      <c r="C434" s="923"/>
      <c r="D434" s="915"/>
      <c r="E434" s="923"/>
      <c r="F434" s="915"/>
      <c r="G434" s="976">
        <v>700000</v>
      </c>
      <c r="H434" s="829">
        <v>43446</v>
      </c>
      <c r="I434" s="923"/>
      <c r="J434" s="1056"/>
    </row>
    <row r="435" spans="1:10" ht="31.5">
      <c r="A435" s="982" t="s">
        <v>1096</v>
      </c>
      <c r="B435" s="904" t="s">
        <v>173</v>
      </c>
      <c r="C435" s="905" t="s">
        <v>1280</v>
      </c>
      <c r="D435" s="991">
        <f>SUM(D436:D441)</f>
        <v>12404800</v>
      </c>
      <c r="E435" s="991"/>
      <c r="F435" s="991">
        <f>SUM(F436:F441)</f>
        <v>2258000</v>
      </c>
      <c r="G435" s="991">
        <f>SUM(G436:G441)</f>
        <v>2258000</v>
      </c>
      <c r="H435" s="991"/>
      <c r="I435" s="991">
        <f>SUM(I436:I441)</f>
        <v>10146800</v>
      </c>
      <c r="J435" s="619" t="s">
        <v>963</v>
      </c>
    </row>
    <row r="436" spans="1:10" ht="31.5">
      <c r="A436" s="869">
        <v>88</v>
      </c>
      <c r="B436" s="876" t="s">
        <v>1281</v>
      </c>
      <c r="C436" s="497" t="s">
        <v>1071</v>
      </c>
      <c r="D436" s="915">
        <v>1000000</v>
      </c>
      <c r="E436" s="915"/>
      <c r="F436" s="915">
        <f>+G436</f>
        <v>1000000</v>
      </c>
      <c r="G436" s="976">
        <v>1000000</v>
      </c>
      <c r="H436" s="829">
        <v>43360</v>
      </c>
      <c r="I436" s="915">
        <f>+D436-F436</f>
        <v>0</v>
      </c>
      <c r="J436" s="1000" t="s">
        <v>914</v>
      </c>
    </row>
    <row r="437" spans="1:10" ht="47.25">
      <c r="A437" s="481">
        <v>89</v>
      </c>
      <c r="B437" s="876" t="s">
        <v>1282</v>
      </c>
      <c r="C437" s="497" t="s">
        <v>1056</v>
      </c>
      <c r="D437" s="915">
        <v>5280000</v>
      </c>
      <c r="E437" s="915"/>
      <c r="F437" s="915">
        <f>+G437</f>
        <v>0</v>
      </c>
      <c r="G437" s="976">
        <v>0</v>
      </c>
      <c r="H437" s="829"/>
      <c r="I437" s="976">
        <f>+D437-F437</f>
        <v>5280000</v>
      </c>
      <c r="J437" s="1045" t="s">
        <v>974</v>
      </c>
    </row>
    <row r="438" spans="1:10">
      <c r="A438" s="481">
        <v>90</v>
      </c>
      <c r="B438" s="2021" t="s">
        <v>1283</v>
      </c>
      <c r="C438" s="987" t="s">
        <v>1041</v>
      </c>
      <c r="D438" s="988">
        <v>5784800</v>
      </c>
      <c r="E438" s="988"/>
      <c r="F438" s="988">
        <f>SUM(G438:G440)</f>
        <v>1258000</v>
      </c>
      <c r="G438" s="976">
        <v>370000</v>
      </c>
      <c r="H438" s="829">
        <v>43388</v>
      </c>
      <c r="I438" s="988">
        <f>+D438-F438</f>
        <v>4526800</v>
      </c>
      <c r="J438" s="1046" t="s">
        <v>974</v>
      </c>
    </row>
    <row r="439" spans="1:10">
      <c r="A439" s="481"/>
      <c r="B439" s="2022"/>
      <c r="C439" s="825"/>
      <c r="D439" s="990"/>
      <c r="E439" s="990"/>
      <c r="F439" s="990"/>
      <c r="G439" s="976">
        <v>296000</v>
      </c>
      <c r="H439" s="829">
        <v>43438</v>
      </c>
      <c r="I439" s="990"/>
      <c r="J439" s="1041"/>
    </row>
    <row r="440" spans="1:10">
      <c r="A440" s="481"/>
      <c r="B440" s="876"/>
      <c r="C440" s="927"/>
      <c r="D440" s="915"/>
      <c r="E440" s="915"/>
      <c r="F440" s="915"/>
      <c r="G440" s="976">
        <v>592000</v>
      </c>
      <c r="H440" s="829">
        <v>43438</v>
      </c>
      <c r="I440" s="915"/>
      <c r="J440" s="1053"/>
    </row>
    <row r="441" spans="1:10" ht="47.25">
      <c r="A441" s="917">
        <v>91</v>
      </c>
      <c r="B441" s="886" t="s">
        <v>1284</v>
      </c>
      <c r="C441" s="1007" t="s">
        <v>1105</v>
      </c>
      <c r="D441" s="1008">
        <v>340000</v>
      </c>
      <c r="E441" s="1008"/>
      <c r="F441" s="1008">
        <f>+G441</f>
        <v>0</v>
      </c>
      <c r="G441" s="1008">
        <v>0</v>
      </c>
      <c r="H441" s="860"/>
      <c r="I441" s="1008">
        <f>+D441-F441</f>
        <v>340000</v>
      </c>
      <c r="J441" s="1057" t="s">
        <v>974</v>
      </c>
    </row>
    <row r="442" spans="1:10">
      <c r="A442" s="1032"/>
      <c r="B442" s="1033"/>
      <c r="C442" s="1034"/>
      <c r="D442" s="1035"/>
      <c r="E442" s="1035"/>
      <c r="F442" s="1035"/>
      <c r="G442" s="1035"/>
      <c r="H442" s="1036"/>
      <c r="I442" s="1035"/>
      <c r="J442" s="1058"/>
    </row>
    <row r="443" spans="1:10">
      <c r="A443" s="981"/>
      <c r="B443" s="1037"/>
      <c r="C443" s="955"/>
      <c r="D443" s="491"/>
      <c r="E443" s="491"/>
      <c r="F443" s="491"/>
      <c r="G443" s="491"/>
      <c r="H443" s="957"/>
      <c r="I443" s="491"/>
      <c r="J443" s="956"/>
    </row>
    <row r="444" spans="1:10">
      <c r="A444" s="981"/>
      <c r="B444" s="490"/>
      <c r="C444" s="490"/>
      <c r="D444" s="491"/>
      <c r="E444" s="490"/>
      <c r="F444" s="491"/>
      <c r="G444" s="491"/>
      <c r="H444" s="490"/>
      <c r="I444" s="493"/>
      <c r="J444" s="490"/>
    </row>
    <row r="445" spans="1:10" ht="31.5">
      <c r="A445" s="982" t="s">
        <v>1285</v>
      </c>
      <c r="B445" s="904" t="s">
        <v>1286</v>
      </c>
      <c r="C445" s="958" t="s">
        <v>1287</v>
      </c>
      <c r="D445" s="983">
        <f>SUM(D446:D453)</f>
        <v>9700000</v>
      </c>
      <c r="E445" s="983">
        <f>SUM(E446:E453)</f>
        <v>0</v>
      </c>
      <c r="F445" s="983">
        <f>SUM(F446:F453)</f>
        <v>8020000</v>
      </c>
      <c r="G445" s="983">
        <f>SUM(G446:G453)</f>
        <v>8020000</v>
      </c>
      <c r="H445" s="983"/>
      <c r="I445" s="983">
        <f>SUM(I446:I453)</f>
        <v>1680000</v>
      </c>
      <c r="J445" s="619" t="s">
        <v>963</v>
      </c>
    </row>
    <row r="446" spans="1:10">
      <c r="A446" s="481">
        <v>92</v>
      </c>
      <c r="B446" s="2014" t="s">
        <v>1288</v>
      </c>
      <c r="C446" s="987" t="s">
        <v>1047</v>
      </c>
      <c r="D446" s="988">
        <v>7700000</v>
      </c>
      <c r="E446" s="988"/>
      <c r="F446" s="988">
        <f>SUM(G446:G448)</f>
        <v>6020000</v>
      </c>
      <c r="G446" s="976">
        <v>2280000</v>
      </c>
      <c r="H446" s="829">
        <v>43391</v>
      </c>
      <c r="I446" s="988">
        <f>+D446-F446</f>
        <v>1680000</v>
      </c>
      <c r="J446" s="1046" t="s">
        <v>974</v>
      </c>
    </row>
    <row r="447" spans="1:10">
      <c r="A447" s="481"/>
      <c r="B447" s="2015"/>
      <c r="C447" s="825"/>
      <c r="D447" s="990"/>
      <c r="E447" s="990"/>
      <c r="F447" s="990"/>
      <c r="G447" s="915">
        <v>2800000</v>
      </c>
      <c r="H447" s="923">
        <v>43418</v>
      </c>
      <c r="I447" s="990"/>
      <c r="J447" s="952"/>
    </row>
    <row r="448" spans="1:10">
      <c r="A448" s="1018"/>
      <c r="B448" s="876"/>
      <c r="C448" s="927"/>
      <c r="D448" s="915"/>
      <c r="E448" s="915"/>
      <c r="F448" s="915"/>
      <c r="G448" s="915">
        <v>940000</v>
      </c>
      <c r="H448" s="829">
        <v>43437</v>
      </c>
      <c r="I448" s="915"/>
      <c r="J448" s="950"/>
    </row>
    <row r="449" spans="1:10">
      <c r="A449" s="481">
        <v>93</v>
      </c>
      <c r="B449" s="2021" t="s">
        <v>1289</v>
      </c>
      <c r="C449" s="987" t="s">
        <v>1056</v>
      </c>
      <c r="D449" s="988">
        <v>2000000</v>
      </c>
      <c r="E449" s="988"/>
      <c r="F449" s="988">
        <f>SUM(G449:G453)</f>
        <v>2000000</v>
      </c>
      <c r="G449" s="915">
        <v>400000</v>
      </c>
      <c r="H449" s="829">
        <v>43392</v>
      </c>
      <c r="I449" s="988">
        <f>+D449-F449</f>
        <v>0</v>
      </c>
      <c r="J449" s="1041" t="s">
        <v>914</v>
      </c>
    </row>
    <row r="450" spans="1:10">
      <c r="A450" s="823"/>
      <c r="B450" s="2022"/>
      <c r="C450" s="825"/>
      <c r="D450" s="990"/>
      <c r="E450" s="990"/>
      <c r="F450" s="990"/>
      <c r="G450" s="915">
        <v>400000</v>
      </c>
      <c r="H450" s="829">
        <v>43392</v>
      </c>
      <c r="I450" s="990"/>
      <c r="J450" s="1078"/>
    </row>
    <row r="451" spans="1:10">
      <c r="A451" s="830"/>
      <c r="B451" s="495"/>
      <c r="C451" s="825"/>
      <c r="D451" s="990"/>
      <c r="E451" s="990"/>
      <c r="F451" s="990"/>
      <c r="G451" s="915">
        <v>400000</v>
      </c>
      <c r="H451" s="923">
        <v>43396</v>
      </c>
      <c r="I451" s="990"/>
      <c r="J451" s="1041"/>
    </row>
    <row r="452" spans="1:10">
      <c r="A452" s="830"/>
      <c r="B452" s="495"/>
      <c r="C452" s="825"/>
      <c r="D452" s="990"/>
      <c r="E452" s="990"/>
      <c r="F452" s="990"/>
      <c r="G452" s="915">
        <v>400000</v>
      </c>
      <c r="H452" s="829">
        <v>43403</v>
      </c>
      <c r="I452" s="990"/>
      <c r="J452" s="1041"/>
    </row>
    <row r="453" spans="1:10">
      <c r="A453" s="830"/>
      <c r="B453" s="915"/>
      <c r="C453" s="915"/>
      <c r="D453" s="915"/>
      <c r="E453" s="915"/>
      <c r="F453" s="915"/>
      <c r="G453" s="915">
        <v>400000</v>
      </c>
      <c r="H453" s="829">
        <v>43403</v>
      </c>
      <c r="I453" s="915"/>
      <c r="J453" s="1004"/>
    </row>
    <row r="454" spans="1:10">
      <c r="A454" s="481"/>
      <c r="B454" s="902"/>
      <c r="C454" s="902"/>
      <c r="D454" s="903"/>
      <c r="E454" s="902"/>
      <c r="F454" s="903"/>
      <c r="G454" s="903"/>
      <c r="H454" s="902"/>
      <c r="I454" s="1039"/>
      <c r="J454" s="1040"/>
    </row>
    <row r="455" spans="1:10" ht="31.5">
      <c r="A455" s="982" t="s">
        <v>1290</v>
      </c>
      <c r="B455" s="904" t="s">
        <v>162</v>
      </c>
      <c r="C455" s="905" t="s">
        <v>1291</v>
      </c>
      <c r="D455" s="991">
        <f>SUM(D456:D474)</f>
        <v>46609119</v>
      </c>
      <c r="E455" s="991"/>
      <c r="F455" s="991">
        <f>SUM(F456:F474)</f>
        <v>40754119</v>
      </c>
      <c r="G455" s="991">
        <f>SUM(G456:G474)</f>
        <v>40754119</v>
      </c>
      <c r="H455" s="991"/>
      <c r="I455" s="991">
        <f>SUM(I456:I474)</f>
        <v>6175000</v>
      </c>
      <c r="J455" s="619" t="s">
        <v>963</v>
      </c>
    </row>
    <row r="456" spans="1:10" ht="31.5">
      <c r="A456" s="481">
        <v>94</v>
      </c>
      <c r="B456" s="824" t="s">
        <v>1292</v>
      </c>
      <c r="C456" s="987" t="s">
        <v>1015</v>
      </c>
      <c r="D456" s="988">
        <v>13135500</v>
      </c>
      <c r="E456" s="988"/>
      <c r="F456" s="988">
        <f>SUM(G456:G460)</f>
        <v>8040500</v>
      </c>
      <c r="G456" s="1059">
        <v>1200000</v>
      </c>
      <c r="H456" s="1060">
        <v>43375</v>
      </c>
      <c r="I456" s="1079">
        <f>+D456-F456+320000</f>
        <v>5415000</v>
      </c>
      <c r="J456" s="1080"/>
    </row>
    <row r="457" spans="1:10">
      <c r="A457" s="481"/>
      <c r="B457" s="831"/>
      <c r="C457" s="825"/>
      <c r="D457" s="990"/>
      <c r="E457" s="990"/>
      <c r="F457" s="990"/>
      <c r="G457" s="1061">
        <v>1850000</v>
      </c>
      <c r="H457" s="1062">
        <v>43375</v>
      </c>
      <c r="I457" s="1081"/>
      <c r="J457" s="1082" t="s">
        <v>974</v>
      </c>
    </row>
    <row r="458" spans="1:10">
      <c r="A458" s="1018"/>
      <c r="B458" s="495"/>
      <c r="C458" s="825"/>
      <c r="D458" s="990"/>
      <c r="E458" s="990"/>
      <c r="F458" s="990"/>
      <c r="G458" s="1061">
        <v>2042500</v>
      </c>
      <c r="H458" s="1060">
        <v>43375</v>
      </c>
      <c r="I458" s="1081"/>
      <c r="J458" s="1082" t="s">
        <v>974</v>
      </c>
    </row>
    <row r="459" spans="1:10">
      <c r="A459" s="1018"/>
      <c r="B459" s="495"/>
      <c r="C459" s="825"/>
      <c r="D459" s="990"/>
      <c r="E459" s="990"/>
      <c r="F459" s="990"/>
      <c r="G459" s="1061">
        <v>1548000</v>
      </c>
      <c r="H459" s="1060">
        <v>43375</v>
      </c>
      <c r="I459" s="1081"/>
      <c r="J459" s="1082" t="s">
        <v>974</v>
      </c>
    </row>
    <row r="460" spans="1:10">
      <c r="A460" s="823"/>
      <c r="B460" s="876"/>
      <c r="C460" s="927"/>
      <c r="D460" s="915"/>
      <c r="E460" s="915"/>
      <c r="F460" s="915"/>
      <c r="G460" s="1061">
        <v>1400000</v>
      </c>
      <c r="H460" s="1060">
        <v>43375</v>
      </c>
      <c r="I460" s="1061"/>
      <c r="J460" s="1080"/>
    </row>
    <row r="461" spans="1:10" ht="31.5">
      <c r="A461" s="830">
        <v>95</v>
      </c>
      <c r="B461" s="876" t="s">
        <v>1293</v>
      </c>
      <c r="C461" s="497" t="s">
        <v>1019</v>
      </c>
      <c r="D461" s="915">
        <v>350000</v>
      </c>
      <c r="E461" s="915"/>
      <c r="F461" s="915">
        <f>+G461</f>
        <v>350000</v>
      </c>
      <c r="G461" s="915">
        <v>350000</v>
      </c>
      <c r="H461" s="829">
        <v>43375</v>
      </c>
      <c r="I461" s="976">
        <f>+D461-F461</f>
        <v>0</v>
      </c>
      <c r="J461" s="1000" t="s">
        <v>914</v>
      </c>
    </row>
    <row r="462" spans="1:10" ht="31.5">
      <c r="A462" s="830">
        <v>96</v>
      </c>
      <c r="B462" s="495" t="s">
        <v>1294</v>
      </c>
      <c r="C462" s="987" t="s">
        <v>1038</v>
      </c>
      <c r="D462" s="990">
        <v>595000</v>
      </c>
      <c r="E462" s="990"/>
      <c r="F462" s="990">
        <f>SUM(G462:G463)</f>
        <v>595000</v>
      </c>
      <c r="G462" s="915">
        <v>297500</v>
      </c>
      <c r="H462" s="829">
        <v>43375</v>
      </c>
      <c r="I462" s="990">
        <f>+D462-F462</f>
        <v>0</v>
      </c>
      <c r="J462" s="1041" t="s">
        <v>914</v>
      </c>
    </row>
    <row r="463" spans="1:10">
      <c r="A463" s="830"/>
      <c r="B463" s="915"/>
      <c r="C463" s="915"/>
      <c r="D463" s="915"/>
      <c r="E463" s="915"/>
      <c r="F463" s="915"/>
      <c r="G463" s="915">
        <v>297500</v>
      </c>
      <c r="H463" s="829">
        <v>43378</v>
      </c>
      <c r="I463" s="915"/>
      <c r="J463" s="1004"/>
    </row>
    <row r="464" spans="1:10" ht="47.25">
      <c r="A464" s="830">
        <v>97</v>
      </c>
      <c r="B464" s="876" t="s">
        <v>1295</v>
      </c>
      <c r="C464" s="497" t="s">
        <v>1047</v>
      </c>
      <c r="D464" s="915">
        <v>2300000</v>
      </c>
      <c r="E464" s="915"/>
      <c r="F464" s="915">
        <f>+G464</f>
        <v>2300000</v>
      </c>
      <c r="G464" s="915">
        <v>2300000</v>
      </c>
      <c r="H464" s="829">
        <v>43375</v>
      </c>
      <c r="I464" s="976">
        <f>+D464-F464</f>
        <v>0</v>
      </c>
      <c r="J464" s="1000" t="s">
        <v>914</v>
      </c>
    </row>
    <row r="465" spans="1:10" ht="31.5">
      <c r="A465" s="830">
        <v>98</v>
      </c>
      <c r="B465" s="876" t="s">
        <v>1296</v>
      </c>
      <c r="C465" s="497" t="s">
        <v>1071</v>
      </c>
      <c r="D465" s="915">
        <v>816000</v>
      </c>
      <c r="E465" s="915"/>
      <c r="F465" s="915">
        <f>+G465</f>
        <v>816000</v>
      </c>
      <c r="G465" s="915">
        <v>816000</v>
      </c>
      <c r="H465" s="829">
        <v>43375</v>
      </c>
      <c r="I465" s="976">
        <f>+D465-F465</f>
        <v>0</v>
      </c>
      <c r="J465" s="1000" t="s">
        <v>914</v>
      </c>
    </row>
    <row r="466" spans="1:10" ht="31.5">
      <c r="A466" s="869">
        <v>99</v>
      </c>
      <c r="B466" s="876" t="s">
        <v>1297</v>
      </c>
      <c r="C466" s="497" t="s">
        <v>1056</v>
      </c>
      <c r="D466" s="915">
        <v>180589</v>
      </c>
      <c r="E466" s="915"/>
      <c r="F466" s="915">
        <f>+G466</f>
        <v>180589</v>
      </c>
      <c r="G466" s="915">
        <v>180589</v>
      </c>
      <c r="H466" s="829">
        <v>43375</v>
      </c>
      <c r="I466" s="976">
        <f>+D466-F466</f>
        <v>0</v>
      </c>
      <c r="J466" s="1000" t="s">
        <v>914</v>
      </c>
    </row>
    <row r="467" spans="1:10">
      <c r="A467" s="1030">
        <v>100</v>
      </c>
      <c r="B467" s="2021" t="s">
        <v>1298</v>
      </c>
      <c r="C467" s="987" t="s">
        <v>1105</v>
      </c>
      <c r="D467" s="988">
        <v>24705000</v>
      </c>
      <c r="E467" s="912"/>
      <c r="F467" s="988">
        <f>SUM(G467:G470)</f>
        <v>23945000</v>
      </c>
      <c r="G467" s="976">
        <v>17475000</v>
      </c>
      <c r="H467" s="829">
        <v>43375</v>
      </c>
      <c r="I467" s="871">
        <f>+D467-F467</f>
        <v>760000</v>
      </c>
      <c r="J467" s="1083" t="s">
        <v>974</v>
      </c>
    </row>
    <row r="468" spans="1:10">
      <c r="A468" s="1031"/>
      <c r="B468" s="2022"/>
      <c r="C468" s="825"/>
      <c r="D468" s="990"/>
      <c r="E468" s="930"/>
      <c r="F468" s="990"/>
      <c r="G468" s="976">
        <v>5690000</v>
      </c>
      <c r="H468" s="829">
        <v>43384</v>
      </c>
      <c r="I468" s="930"/>
      <c r="J468" s="1084"/>
    </row>
    <row r="469" spans="1:10">
      <c r="A469" s="1031"/>
      <c r="B469" s="495"/>
      <c r="C469" s="825"/>
      <c r="D469" s="990"/>
      <c r="E469" s="930"/>
      <c r="F469" s="990"/>
      <c r="G469" s="976">
        <v>380000</v>
      </c>
      <c r="H469" s="829">
        <v>43465</v>
      </c>
      <c r="I469" s="930"/>
      <c r="J469" s="1084"/>
    </row>
    <row r="470" spans="1:10">
      <c r="A470" s="1063"/>
      <c r="B470" s="876"/>
      <c r="C470" s="927"/>
      <c r="D470" s="915"/>
      <c r="E470" s="923"/>
      <c r="F470" s="915"/>
      <c r="G470" s="976">
        <v>400000</v>
      </c>
      <c r="H470" s="829" t="s">
        <v>1299</v>
      </c>
      <c r="I470" s="923"/>
      <c r="J470" s="1056"/>
    </row>
    <row r="471" spans="1:10">
      <c r="A471" s="823">
        <v>101</v>
      </c>
      <c r="B471" s="2021" t="s">
        <v>1300</v>
      </c>
      <c r="C471" s="987" t="s">
        <v>1271</v>
      </c>
      <c r="D471" s="988">
        <v>4025000</v>
      </c>
      <c r="E471" s="988"/>
      <c r="F471" s="988">
        <f>SUM(G471:G473)</f>
        <v>4025000</v>
      </c>
      <c r="G471" s="976">
        <v>3035000</v>
      </c>
      <c r="H471" s="829">
        <v>43375</v>
      </c>
      <c r="I471" s="871">
        <f>+D471-F471</f>
        <v>0</v>
      </c>
      <c r="J471" s="1041" t="s">
        <v>914</v>
      </c>
    </row>
    <row r="472" spans="1:10">
      <c r="A472" s="830"/>
      <c r="B472" s="2022"/>
      <c r="C472" s="825"/>
      <c r="D472" s="990"/>
      <c r="E472" s="990"/>
      <c r="F472" s="930"/>
      <c r="G472" s="976">
        <v>570000</v>
      </c>
      <c r="H472" s="829">
        <v>43455</v>
      </c>
      <c r="I472" s="990"/>
      <c r="J472" s="1041"/>
    </row>
    <row r="473" spans="1:10">
      <c r="A473" s="853"/>
      <c r="B473" s="856"/>
      <c r="C473" s="855"/>
      <c r="D473" s="1011"/>
      <c r="E473" s="1011"/>
      <c r="F473" s="1011"/>
      <c r="G473" s="1008">
        <v>420000</v>
      </c>
      <c r="H473" s="860">
        <v>43465</v>
      </c>
      <c r="I473" s="1011"/>
      <c r="J473" s="1042"/>
    </row>
    <row r="474" spans="1:10" ht="31.5">
      <c r="A474" s="1013">
        <v>102</v>
      </c>
      <c r="B474" s="890" t="s">
        <v>1301</v>
      </c>
      <c r="C474" s="969" t="s">
        <v>1063</v>
      </c>
      <c r="D474" s="1009">
        <v>502030</v>
      </c>
      <c r="E474" s="1009"/>
      <c r="F474" s="1009">
        <f>+G474</f>
        <v>502030</v>
      </c>
      <c r="G474" s="1009">
        <v>502030</v>
      </c>
      <c r="H474" s="868">
        <v>43375</v>
      </c>
      <c r="I474" s="1009">
        <f>+D474-F474</f>
        <v>0</v>
      </c>
      <c r="J474" s="999" t="s">
        <v>914</v>
      </c>
    </row>
    <row r="475" spans="1:10">
      <c r="A475" s="481"/>
      <c r="B475" s="902"/>
      <c r="C475" s="902"/>
      <c r="D475" s="903"/>
      <c r="E475" s="902"/>
      <c r="F475" s="903"/>
      <c r="G475" s="903"/>
      <c r="H475" s="902"/>
      <c r="I475" s="1039"/>
      <c r="J475" s="1040"/>
    </row>
    <row r="476" spans="1:10" ht="31.5">
      <c r="A476" s="982" t="s">
        <v>1302</v>
      </c>
      <c r="B476" s="904" t="s">
        <v>1303</v>
      </c>
      <c r="C476" s="905" t="s">
        <v>1304</v>
      </c>
      <c r="D476" s="991">
        <f>SUM(D477:D499)</f>
        <v>71845000</v>
      </c>
      <c r="E476" s="991">
        <f>SUM(E477:E499)</f>
        <v>0</v>
      </c>
      <c r="F476" s="991">
        <f>SUM(F477:F499)</f>
        <v>37945000</v>
      </c>
      <c r="G476" s="991">
        <f>SUM(G477:G499)</f>
        <v>37945000</v>
      </c>
      <c r="H476" s="991"/>
      <c r="I476" s="991">
        <f>SUM(I477:I499)</f>
        <v>33900000</v>
      </c>
      <c r="J476" s="619" t="s">
        <v>963</v>
      </c>
    </row>
    <row r="477" spans="1:10">
      <c r="A477" s="481">
        <v>103</v>
      </c>
      <c r="B477" s="2023" t="s">
        <v>1305</v>
      </c>
      <c r="C477" s="987" t="s">
        <v>1015</v>
      </c>
      <c r="D477" s="988">
        <v>47500000</v>
      </c>
      <c r="E477" s="988"/>
      <c r="F477" s="988">
        <f>SUM(G477:G479)</f>
        <v>13600000</v>
      </c>
      <c r="G477" s="976">
        <v>800000</v>
      </c>
      <c r="H477" s="829">
        <v>43390</v>
      </c>
      <c r="I477" s="988">
        <f>+D477-F477</f>
        <v>33900000</v>
      </c>
      <c r="J477" s="952" t="s">
        <v>974</v>
      </c>
    </row>
    <row r="478" spans="1:10">
      <c r="A478" s="481"/>
      <c r="B478" s="2024"/>
      <c r="C478" s="825"/>
      <c r="D478" s="990"/>
      <c r="E478" s="990"/>
      <c r="F478" s="990"/>
      <c r="G478" s="915">
        <v>3700000</v>
      </c>
      <c r="H478" s="829">
        <v>43409</v>
      </c>
      <c r="I478" s="990"/>
      <c r="J478" s="1041"/>
    </row>
    <row r="479" spans="1:10">
      <c r="A479" s="1017"/>
      <c r="B479" s="495"/>
      <c r="C479" s="825"/>
      <c r="D479" s="990"/>
      <c r="E479" s="990"/>
      <c r="F479" s="990"/>
      <c r="G479" s="990">
        <v>9100000</v>
      </c>
      <c r="H479" s="930">
        <v>43444</v>
      </c>
      <c r="I479" s="990"/>
      <c r="J479" s="1053"/>
    </row>
    <row r="480" spans="1:10">
      <c r="A480" s="823">
        <v>104</v>
      </c>
      <c r="B480" s="2014" t="s">
        <v>1306</v>
      </c>
      <c r="C480" s="987" t="s">
        <v>1019</v>
      </c>
      <c r="D480" s="910">
        <v>6363000</v>
      </c>
      <c r="E480" s="988"/>
      <c r="F480" s="871">
        <f>SUM(G480:G481)</f>
        <v>6363000</v>
      </c>
      <c r="G480" s="901">
        <v>175000</v>
      </c>
      <c r="H480" s="978">
        <v>43388</v>
      </c>
      <c r="I480" s="988">
        <f>+D480-F480</f>
        <v>0</v>
      </c>
      <c r="J480" s="949" t="s">
        <v>914</v>
      </c>
    </row>
    <row r="481" spans="1:10">
      <c r="A481" s="869"/>
      <c r="B481" s="2016"/>
      <c r="C481" s="878"/>
      <c r="D481" s="962"/>
      <c r="E481" s="712"/>
      <c r="F481" s="962"/>
      <c r="G481" s="962">
        <v>6188000</v>
      </c>
      <c r="H481" s="1064">
        <v>43426</v>
      </c>
      <c r="I481" s="996"/>
      <c r="J481" s="1053"/>
    </row>
    <row r="482" spans="1:10" ht="31.5">
      <c r="A482" s="481">
        <v>105</v>
      </c>
      <c r="B482" s="898" t="s">
        <v>1307</v>
      </c>
      <c r="C482" s="497" t="s">
        <v>1038</v>
      </c>
      <c r="D482" s="901">
        <v>564000</v>
      </c>
      <c r="E482" s="976"/>
      <c r="F482" s="899">
        <f>+G482</f>
        <v>564000</v>
      </c>
      <c r="G482" s="901">
        <v>564000</v>
      </c>
      <c r="H482" s="978"/>
      <c r="I482" s="1085">
        <f>+D482-F482</f>
        <v>0</v>
      </c>
      <c r="J482" s="1000" t="s">
        <v>914</v>
      </c>
    </row>
    <row r="483" spans="1:10" ht="31.5">
      <c r="A483" s="869">
        <v>106</v>
      </c>
      <c r="B483" s="874" t="s">
        <v>1308</v>
      </c>
      <c r="C483" s="497" t="s">
        <v>1047</v>
      </c>
      <c r="D483" s="963">
        <v>200000</v>
      </c>
      <c r="E483" s="1065"/>
      <c r="F483" s="963">
        <f>+G483</f>
        <v>200000</v>
      </c>
      <c r="G483" s="962">
        <v>200000</v>
      </c>
      <c r="H483" s="1064">
        <v>43375</v>
      </c>
      <c r="I483" s="996">
        <f>+D483-F483</f>
        <v>0</v>
      </c>
      <c r="J483" s="1000" t="s">
        <v>914</v>
      </c>
    </row>
    <row r="484" spans="1:10" ht="31.5">
      <c r="A484" s="823">
        <v>107</v>
      </c>
      <c r="B484" s="1066" t="s">
        <v>1309</v>
      </c>
      <c r="C484" s="987" t="s">
        <v>1071</v>
      </c>
      <c r="D484" s="910">
        <v>13150000</v>
      </c>
      <c r="E484" s="1067"/>
      <c r="F484" s="910">
        <f>SUM(G484:G498)</f>
        <v>13150000</v>
      </c>
      <c r="G484" s="1068">
        <v>100000</v>
      </c>
      <c r="H484" s="1069">
        <v>43375</v>
      </c>
      <c r="I484" s="1051">
        <f>+D484-F484</f>
        <v>0</v>
      </c>
      <c r="J484" s="1086" t="s">
        <v>914</v>
      </c>
    </row>
    <row r="485" spans="1:10">
      <c r="A485" s="830"/>
      <c r="B485" s="1070"/>
      <c r="C485" s="981"/>
      <c r="D485" s="962"/>
      <c r="E485" s="961"/>
      <c r="F485" s="962"/>
      <c r="G485" s="1068">
        <v>1360000</v>
      </c>
      <c r="H485" s="1069">
        <v>43375</v>
      </c>
      <c r="I485" s="961"/>
      <c r="J485" s="1087"/>
    </row>
    <row r="486" spans="1:10">
      <c r="A486" s="830"/>
      <c r="B486" s="1070"/>
      <c r="C486" s="981"/>
      <c r="D486" s="962"/>
      <c r="E486" s="961"/>
      <c r="F486" s="962"/>
      <c r="G486" s="1068">
        <v>200000</v>
      </c>
      <c r="H486" s="1069">
        <v>43375</v>
      </c>
      <c r="I486" s="961"/>
      <c r="J486" s="1087"/>
    </row>
    <row r="487" spans="1:10">
      <c r="A487" s="1071"/>
      <c r="B487" s="712"/>
      <c r="C487" s="712"/>
      <c r="D487" s="712"/>
      <c r="E487" s="712"/>
      <c r="F487" s="712"/>
      <c r="G487" s="1068">
        <v>1360000</v>
      </c>
      <c r="H487" s="1069">
        <v>43375</v>
      </c>
      <c r="I487" s="712"/>
      <c r="J487" s="1088"/>
    </row>
    <row r="488" spans="1:10">
      <c r="A488" s="1071"/>
      <c r="B488" s="712"/>
      <c r="C488" s="712"/>
      <c r="D488" s="712"/>
      <c r="E488" s="712"/>
      <c r="F488" s="712"/>
      <c r="G488" s="1068">
        <v>500000</v>
      </c>
      <c r="H488" s="1069">
        <v>43381</v>
      </c>
      <c r="I488" s="712"/>
      <c r="J488" s="1088"/>
    </row>
    <row r="489" spans="1:10">
      <c r="A489" s="1071"/>
      <c r="B489" s="712"/>
      <c r="C489" s="712"/>
      <c r="D489" s="712"/>
      <c r="E489" s="712"/>
      <c r="F489" s="712"/>
      <c r="G489" s="1068">
        <v>250000</v>
      </c>
      <c r="H489" s="1069">
        <v>43392</v>
      </c>
      <c r="I489" s="712"/>
      <c r="J489" s="1088"/>
    </row>
    <row r="490" spans="1:10">
      <c r="A490" s="1071"/>
      <c r="B490" s="712"/>
      <c r="C490" s="712"/>
      <c r="D490" s="712"/>
      <c r="E490" s="712"/>
      <c r="F490" s="712"/>
      <c r="G490" s="1068">
        <v>1360000</v>
      </c>
      <c r="H490" s="1069">
        <v>43392</v>
      </c>
      <c r="I490" s="712"/>
      <c r="J490" s="1088"/>
    </row>
    <row r="491" spans="1:10">
      <c r="A491" s="1071"/>
      <c r="B491" s="712"/>
      <c r="C491" s="712"/>
      <c r="D491" s="712"/>
      <c r="E491" s="712"/>
      <c r="F491" s="712"/>
      <c r="G491" s="1068">
        <v>710000</v>
      </c>
      <c r="H491" s="1069">
        <v>43411</v>
      </c>
      <c r="I491" s="712"/>
      <c r="J491" s="1088"/>
    </row>
    <row r="492" spans="1:10">
      <c r="A492" s="1071"/>
      <c r="B492" s="712"/>
      <c r="C492" s="712"/>
      <c r="D492" s="712"/>
      <c r="E492" s="712"/>
      <c r="F492" s="712"/>
      <c r="G492" s="1068">
        <v>1260000</v>
      </c>
      <c r="H492" s="1069">
        <v>43413</v>
      </c>
      <c r="I492" s="712"/>
      <c r="J492" s="1088"/>
    </row>
    <row r="493" spans="1:10">
      <c r="A493" s="1071"/>
      <c r="B493" s="712"/>
      <c r="C493" s="712"/>
      <c r="D493" s="712"/>
      <c r="E493" s="712"/>
      <c r="F493" s="712"/>
      <c r="G493" s="1068">
        <v>510000</v>
      </c>
      <c r="H493" s="1069">
        <v>43433</v>
      </c>
      <c r="I493" s="712"/>
      <c r="J493" s="1088"/>
    </row>
    <row r="494" spans="1:10">
      <c r="A494" s="1071"/>
      <c r="B494" s="712"/>
      <c r="C494" s="712"/>
      <c r="D494" s="712"/>
      <c r="E494" s="1072"/>
      <c r="F494" s="1073"/>
      <c r="G494" s="1068">
        <v>1360000</v>
      </c>
      <c r="H494" s="1069">
        <v>43438</v>
      </c>
      <c r="I494" s="712"/>
      <c r="J494" s="1088"/>
    </row>
    <row r="495" spans="1:10">
      <c r="A495" s="1071"/>
      <c r="B495" s="712"/>
      <c r="C495" s="712"/>
      <c r="D495" s="712"/>
      <c r="E495" s="1072"/>
      <c r="F495" s="1073"/>
      <c r="G495" s="1068">
        <v>1360000</v>
      </c>
      <c r="H495" s="1069">
        <v>43448</v>
      </c>
      <c r="I495" s="712"/>
      <c r="J495" s="1088"/>
    </row>
    <row r="496" spans="1:10">
      <c r="A496" s="1071"/>
      <c r="B496" s="712"/>
      <c r="C496" s="712"/>
      <c r="D496" s="712"/>
      <c r="E496" s="1072"/>
      <c r="F496" s="1073"/>
      <c r="G496" s="1068">
        <v>1360000</v>
      </c>
      <c r="H496" s="1069">
        <v>43448</v>
      </c>
      <c r="I496" s="712"/>
      <c r="J496" s="1088"/>
    </row>
    <row r="497" spans="1:10">
      <c r="A497" s="1071"/>
      <c r="B497" s="712"/>
      <c r="C497" s="712"/>
      <c r="D497" s="712"/>
      <c r="E497" s="1072"/>
      <c r="F497" s="1073"/>
      <c r="G497" s="1068">
        <v>860000</v>
      </c>
      <c r="H497" s="1069">
        <v>43451</v>
      </c>
      <c r="I497" s="712"/>
      <c r="J497" s="1088"/>
    </row>
    <row r="498" spans="1:10">
      <c r="A498" s="1074"/>
      <c r="B498" s="563"/>
      <c r="C498" s="563"/>
      <c r="D498" s="563"/>
      <c r="E498" s="1075"/>
      <c r="F498" s="1076"/>
      <c r="G498" s="1068">
        <v>600000</v>
      </c>
      <c r="H498" s="1069">
        <v>43453</v>
      </c>
      <c r="I498" s="563"/>
      <c r="J498" s="1089"/>
    </row>
    <row r="499" spans="1:10" ht="31.5">
      <c r="A499" s="1077">
        <v>108</v>
      </c>
      <c r="B499" s="711" t="s">
        <v>1310</v>
      </c>
      <c r="C499" s="987" t="s">
        <v>1105</v>
      </c>
      <c r="D499" s="639">
        <v>4068000</v>
      </c>
      <c r="E499" s="1065"/>
      <c r="F499" s="1065">
        <f>+G499</f>
        <v>4068000</v>
      </c>
      <c r="G499" s="1065">
        <f>+D499</f>
        <v>4068000</v>
      </c>
      <c r="H499" s="1069">
        <v>43411</v>
      </c>
      <c r="I499" s="1065">
        <f>+D499-F499</f>
        <v>0</v>
      </c>
      <c r="J499" s="1000" t="s">
        <v>914</v>
      </c>
    </row>
    <row r="500" spans="1:10">
      <c r="A500" s="481"/>
      <c r="B500" s="902"/>
      <c r="C500" s="902"/>
      <c r="D500" s="903"/>
      <c r="E500" s="902"/>
      <c r="F500" s="903"/>
      <c r="G500" s="903"/>
      <c r="H500" s="902"/>
      <c r="I500" s="1039"/>
      <c r="J500" s="1040"/>
    </row>
    <row r="501" spans="1:10" ht="31.5">
      <c r="A501" s="982" t="s">
        <v>1311</v>
      </c>
      <c r="B501" s="904" t="s">
        <v>1312</v>
      </c>
      <c r="C501" s="905" t="s">
        <v>1313</v>
      </c>
      <c r="D501" s="991">
        <f>SUM(D502:D504)</f>
        <v>8050060</v>
      </c>
      <c r="E501" s="991"/>
      <c r="F501" s="991">
        <f>SUM(F502:F504)</f>
        <v>8050060</v>
      </c>
      <c r="G501" s="991">
        <f>SUM(G502:G504)</f>
        <v>8050060</v>
      </c>
      <c r="H501" s="991"/>
      <c r="I501" s="991">
        <f>SUM(I502:I504)</f>
        <v>0</v>
      </c>
      <c r="J501" s="1090" t="s">
        <v>957</v>
      </c>
    </row>
    <row r="502" spans="1:10">
      <c r="A502" s="481">
        <v>109</v>
      </c>
      <c r="B502" s="1999" t="s">
        <v>1314</v>
      </c>
      <c r="C502" s="987" t="s">
        <v>1015</v>
      </c>
      <c r="D502" s="988">
        <v>8050060</v>
      </c>
      <c r="E502" s="988"/>
      <c r="F502" s="988">
        <f>SUM(G502:G504)</f>
        <v>8050060</v>
      </c>
      <c r="G502" s="976">
        <v>1320990</v>
      </c>
      <c r="H502" s="829">
        <v>43314</v>
      </c>
      <c r="I502" s="988">
        <f>+D502-F502</f>
        <v>0</v>
      </c>
      <c r="J502" s="1086" t="s">
        <v>914</v>
      </c>
    </row>
    <row r="503" spans="1:10">
      <c r="A503" s="481"/>
      <c r="B503" s="2000"/>
      <c r="C503" s="825"/>
      <c r="D503" s="990"/>
      <c r="E503" s="990"/>
      <c r="F503" s="990"/>
      <c r="G503" s="915">
        <v>1729070</v>
      </c>
      <c r="H503" s="829">
        <v>43313</v>
      </c>
      <c r="I503" s="990"/>
      <c r="J503" s="1041"/>
    </row>
    <row r="504" spans="1:10">
      <c r="A504" s="1017"/>
      <c r="B504" s="2001"/>
      <c r="C504" s="927"/>
      <c r="D504" s="915"/>
      <c r="E504" s="915"/>
      <c r="F504" s="915"/>
      <c r="G504" s="915">
        <v>5000000</v>
      </c>
      <c r="H504" s="923">
        <v>43432</v>
      </c>
      <c r="I504" s="915"/>
      <c r="J504" s="1053"/>
    </row>
    <row r="505" spans="1:10">
      <c r="A505" s="481"/>
      <c r="B505" s="902"/>
      <c r="C505" s="902"/>
      <c r="D505" s="903"/>
      <c r="E505" s="902"/>
      <c r="F505" s="903"/>
      <c r="G505" s="903"/>
      <c r="H505" s="902"/>
      <c r="I505" s="1039"/>
      <c r="J505" s="1040"/>
    </row>
    <row r="506" spans="1:10" ht="31.5">
      <c r="A506" s="982" t="s">
        <v>1315</v>
      </c>
      <c r="B506" s="904" t="s">
        <v>1316</v>
      </c>
      <c r="C506" s="905" t="s">
        <v>1317</v>
      </c>
      <c r="D506" s="991">
        <f>+D507</f>
        <v>105000</v>
      </c>
      <c r="E506" s="991"/>
      <c r="F506" s="991">
        <f>+F507</f>
        <v>105000</v>
      </c>
      <c r="G506" s="991">
        <f>+G507</f>
        <v>105000</v>
      </c>
      <c r="H506" s="991"/>
      <c r="I506" s="991">
        <f>+I507</f>
        <v>0</v>
      </c>
      <c r="J506" s="757" t="s">
        <v>957</v>
      </c>
    </row>
    <row r="507" spans="1:10" ht="31.5">
      <c r="A507" s="481">
        <v>110</v>
      </c>
      <c r="B507" s="670" t="s">
        <v>1318</v>
      </c>
      <c r="C507" s="497" t="s">
        <v>1038</v>
      </c>
      <c r="D507" s="638">
        <v>105000</v>
      </c>
      <c r="E507" s="718"/>
      <c r="F507" s="718">
        <f>+G507</f>
        <v>105000</v>
      </c>
      <c r="G507" s="638">
        <v>105000</v>
      </c>
      <c r="H507" s="651">
        <v>43364</v>
      </c>
      <c r="I507" s="688">
        <f>+D507-G507</f>
        <v>0</v>
      </c>
      <c r="J507" s="1000" t="s">
        <v>914</v>
      </c>
    </row>
    <row r="508" spans="1:10">
      <c r="A508" s="823"/>
      <c r="B508" s="892"/>
      <c r="C508" s="892"/>
      <c r="D508" s="893"/>
      <c r="E508" s="892"/>
      <c r="F508" s="893"/>
      <c r="G508" s="893"/>
      <c r="H508" s="892"/>
      <c r="I508" s="1002"/>
      <c r="J508" s="1003"/>
    </row>
    <row r="509" spans="1:10" ht="31.5">
      <c r="A509" s="985" t="s">
        <v>1319</v>
      </c>
      <c r="B509" s="895" t="s">
        <v>1320</v>
      </c>
      <c r="C509" s="896" t="s">
        <v>1321</v>
      </c>
      <c r="D509" s="986">
        <f>SUM(D510:D516)</f>
        <v>11775568.5</v>
      </c>
      <c r="E509" s="986">
        <f>SUM(E510:E515)</f>
        <v>0</v>
      </c>
      <c r="F509" s="986">
        <f>SUM(F510:F516)</f>
        <v>11775568.5</v>
      </c>
      <c r="G509" s="986">
        <f>SUM(G510:G516)</f>
        <v>11775568.5</v>
      </c>
      <c r="H509" s="986"/>
      <c r="I509" s="986">
        <f>SUM(I510:I516)</f>
        <v>0</v>
      </c>
      <c r="J509" s="1091" t="s">
        <v>957</v>
      </c>
    </row>
    <row r="510" spans="1:10" ht="31.5">
      <c r="A510" s="1077">
        <v>111</v>
      </c>
      <c r="B510" s="711" t="s">
        <v>1322</v>
      </c>
      <c r="C510" s="497" t="s">
        <v>1015</v>
      </c>
      <c r="D510" s="639">
        <v>1921932.5</v>
      </c>
      <c r="E510" s="1065"/>
      <c r="F510" s="1065">
        <f>+G510</f>
        <v>1921932.5</v>
      </c>
      <c r="G510" s="639">
        <v>1921932.5</v>
      </c>
      <c r="H510" s="668">
        <v>43371</v>
      </c>
      <c r="I510" s="639">
        <f>+D510-G510</f>
        <v>0</v>
      </c>
      <c r="J510" s="1000" t="s">
        <v>914</v>
      </c>
    </row>
    <row r="511" spans="1:10" ht="31.5">
      <c r="A511" s="1077">
        <v>112</v>
      </c>
      <c r="B511" s="711" t="s">
        <v>1323</v>
      </c>
      <c r="C511" s="497" t="s">
        <v>1019</v>
      </c>
      <c r="D511" s="639">
        <v>3409091</v>
      </c>
      <c r="E511" s="1065"/>
      <c r="F511" s="1065">
        <f>+G511</f>
        <v>3409091</v>
      </c>
      <c r="G511" s="639">
        <v>3409091</v>
      </c>
      <c r="H511" s="668">
        <v>43371</v>
      </c>
      <c r="I511" s="639">
        <f>+D511-G511</f>
        <v>0</v>
      </c>
      <c r="J511" s="1000" t="s">
        <v>914</v>
      </c>
    </row>
    <row r="512" spans="1:10" ht="47.25">
      <c r="A512" s="1077">
        <v>113</v>
      </c>
      <c r="B512" s="711" t="s">
        <v>1324</v>
      </c>
      <c r="C512" s="497" t="s">
        <v>1038</v>
      </c>
      <c r="D512" s="639">
        <v>2727272</v>
      </c>
      <c r="E512" s="1065"/>
      <c r="F512" s="1065">
        <f>+G512</f>
        <v>2727272</v>
      </c>
      <c r="G512" s="639">
        <v>2727272</v>
      </c>
      <c r="H512" s="668">
        <v>43371</v>
      </c>
      <c r="I512" s="639"/>
      <c r="J512" s="1000" t="s">
        <v>914</v>
      </c>
    </row>
    <row r="513" spans="1:10" ht="31.5">
      <c r="A513" s="1077">
        <v>114</v>
      </c>
      <c r="B513" s="711" t="s">
        <v>1325</v>
      </c>
      <c r="C513" s="497" t="s">
        <v>1047</v>
      </c>
      <c r="D513" s="639">
        <v>1227273</v>
      </c>
      <c r="E513" s="1065"/>
      <c r="F513" s="1065">
        <f>+G513</f>
        <v>1227273</v>
      </c>
      <c r="G513" s="639">
        <v>1227273</v>
      </c>
      <c r="H513" s="668">
        <v>43370</v>
      </c>
      <c r="I513" s="639"/>
      <c r="J513" s="1000" t="s">
        <v>914</v>
      </c>
    </row>
    <row r="514" spans="1:10" ht="31.5">
      <c r="A514" s="1077">
        <v>115</v>
      </c>
      <c r="B514" s="711" t="s">
        <v>1326</v>
      </c>
      <c r="C514" s="497" t="s">
        <v>1071</v>
      </c>
      <c r="D514" s="639">
        <v>1500000</v>
      </c>
      <c r="E514" s="1065"/>
      <c r="F514" s="1065">
        <f>+G514</f>
        <v>1500000</v>
      </c>
      <c r="G514" s="639">
        <v>1500000</v>
      </c>
      <c r="H514" s="668">
        <v>43374</v>
      </c>
      <c r="I514" s="639"/>
      <c r="J514" s="1000" t="s">
        <v>914</v>
      </c>
    </row>
    <row r="515" spans="1:10" ht="31.5">
      <c r="A515" s="1077">
        <v>116</v>
      </c>
      <c r="B515" s="711" t="s">
        <v>1327</v>
      </c>
      <c r="C515" s="987" t="s">
        <v>1056</v>
      </c>
      <c r="D515" s="639">
        <v>990000</v>
      </c>
      <c r="E515" s="639"/>
      <c r="F515" s="639">
        <f>SUM(G515:G516)</f>
        <v>990000</v>
      </c>
      <c r="G515" s="639">
        <v>630000</v>
      </c>
      <c r="H515" s="668">
        <v>43369</v>
      </c>
      <c r="I515" s="639"/>
      <c r="J515" s="1086" t="s">
        <v>914</v>
      </c>
    </row>
    <row r="516" spans="1:10">
      <c r="A516" s="1074"/>
      <c r="B516" s="563"/>
      <c r="C516" s="563"/>
      <c r="D516" s="563"/>
      <c r="E516" s="564"/>
      <c r="F516" s="564"/>
      <c r="G516" s="639">
        <v>360000</v>
      </c>
      <c r="H516" s="668">
        <v>43369</v>
      </c>
      <c r="I516" s="564"/>
      <c r="J516" s="1114"/>
    </row>
    <row r="517" spans="1:10">
      <c r="A517" s="481"/>
      <c r="B517" s="902"/>
      <c r="C517" s="902"/>
      <c r="D517" s="903"/>
      <c r="E517" s="902"/>
      <c r="F517" s="903"/>
      <c r="G517" s="903"/>
      <c r="H517" s="902"/>
      <c r="I517" s="1039"/>
      <c r="J517" s="1040"/>
    </row>
    <row r="518" spans="1:10" ht="47.25">
      <c r="A518" s="982" t="s">
        <v>1328</v>
      </c>
      <c r="B518" s="904" t="s">
        <v>164</v>
      </c>
      <c r="C518" s="905" t="s">
        <v>1329</v>
      </c>
      <c r="D518" s="991">
        <f>SUM(D519:D525)</f>
        <v>10505000</v>
      </c>
      <c r="E518" s="991"/>
      <c r="F518" s="991">
        <f>SUM(F519:F525)</f>
        <v>10505000</v>
      </c>
      <c r="G518" s="991">
        <f>SUM(G519:G525)</f>
        <v>10505000</v>
      </c>
      <c r="H518" s="991"/>
      <c r="I518" s="991">
        <f>SUM(I519:I525)</f>
        <v>0</v>
      </c>
      <c r="J518" s="757" t="s">
        <v>957</v>
      </c>
    </row>
    <row r="519" spans="1:10" ht="31.5">
      <c r="A519" s="1077">
        <v>117</v>
      </c>
      <c r="B519" s="711" t="s">
        <v>1330</v>
      </c>
      <c r="C519" s="987" t="s">
        <v>1019</v>
      </c>
      <c r="D519" s="639">
        <v>1500000</v>
      </c>
      <c r="E519" s="1065"/>
      <c r="F519" s="1065">
        <f>SUM(G519:G520)</f>
        <v>1500000</v>
      </c>
      <c r="G519" s="638">
        <v>1200000</v>
      </c>
      <c r="H519" s="651">
        <v>43384</v>
      </c>
      <c r="I519" s="1115">
        <f>+D519-F519</f>
        <v>0</v>
      </c>
      <c r="J519" s="949" t="s">
        <v>914</v>
      </c>
    </row>
    <row r="520" spans="1:10">
      <c r="A520" s="1092"/>
      <c r="B520" s="1093"/>
      <c r="C520" s="905"/>
      <c r="D520" s="991"/>
      <c r="E520" s="991"/>
      <c r="F520" s="991"/>
      <c r="G520" s="991">
        <v>300000</v>
      </c>
      <c r="H520" s="1094">
        <v>43384</v>
      </c>
      <c r="I520" s="991"/>
      <c r="J520" s="757"/>
    </row>
    <row r="521" spans="1:10" ht="31.5">
      <c r="A521" s="1077">
        <v>118</v>
      </c>
      <c r="B521" s="711" t="s">
        <v>1331</v>
      </c>
      <c r="C521" s="987" t="s">
        <v>1038</v>
      </c>
      <c r="D521" s="639">
        <v>9005000</v>
      </c>
      <c r="E521" s="1065"/>
      <c r="F521" s="1065">
        <f>SUM(G521:G525)</f>
        <v>9005000</v>
      </c>
      <c r="G521" s="639">
        <v>2230000</v>
      </c>
      <c r="H521" s="668">
        <v>43384</v>
      </c>
      <c r="I521" s="639">
        <f>+D521-F521</f>
        <v>0</v>
      </c>
      <c r="J521" s="949" t="s">
        <v>914</v>
      </c>
    </row>
    <row r="522" spans="1:10">
      <c r="A522" s="1071"/>
      <c r="B522" s="594"/>
      <c r="C522" s="825"/>
      <c r="D522" s="654"/>
      <c r="E522" s="712"/>
      <c r="F522" s="712"/>
      <c r="G522" s="639">
        <v>2109000</v>
      </c>
      <c r="H522" s="668">
        <v>43384</v>
      </c>
      <c r="I522" s="654"/>
      <c r="J522" s="1041"/>
    </row>
    <row r="523" spans="1:10">
      <c r="A523" s="1071"/>
      <c r="B523" s="594"/>
      <c r="C523" s="825"/>
      <c r="D523" s="654"/>
      <c r="E523" s="712"/>
      <c r="F523" s="712"/>
      <c r="G523" s="639">
        <v>1995000</v>
      </c>
      <c r="H523" s="668">
        <v>43384</v>
      </c>
      <c r="I523" s="654"/>
      <c r="J523" s="1041"/>
    </row>
    <row r="524" spans="1:10">
      <c r="A524" s="1071"/>
      <c r="B524" s="594"/>
      <c r="C524" s="825"/>
      <c r="D524" s="654"/>
      <c r="E524" s="712"/>
      <c r="F524" s="712"/>
      <c r="G524" s="639">
        <v>855000</v>
      </c>
      <c r="H524" s="668">
        <v>43384</v>
      </c>
      <c r="I524" s="654"/>
      <c r="J524" s="1041"/>
    </row>
    <row r="525" spans="1:10">
      <c r="A525" s="1074"/>
      <c r="B525" s="562"/>
      <c r="C525" s="927"/>
      <c r="D525" s="654"/>
      <c r="E525" s="712"/>
      <c r="F525" s="712"/>
      <c r="G525" s="639">
        <v>1816000</v>
      </c>
      <c r="H525" s="668">
        <v>43384</v>
      </c>
      <c r="I525" s="564"/>
      <c r="J525" s="1053"/>
    </row>
    <row r="526" spans="1:10">
      <c r="A526" s="481"/>
      <c r="B526" s="902"/>
      <c r="C526" s="902"/>
      <c r="D526" s="903"/>
      <c r="E526" s="902"/>
      <c r="F526" s="903"/>
      <c r="G526" s="903"/>
      <c r="H526" s="902"/>
      <c r="I526" s="1039"/>
      <c r="J526" s="1040"/>
    </row>
    <row r="527" spans="1:10" ht="31.5">
      <c r="A527" s="1095" t="s">
        <v>1332</v>
      </c>
      <c r="B527" s="904" t="s">
        <v>1333</v>
      </c>
      <c r="C527" s="905" t="s">
        <v>1334</v>
      </c>
      <c r="D527" s="991">
        <f>SUM(D528:D541)</f>
        <v>82443510</v>
      </c>
      <c r="E527" s="991">
        <f>SUM(E528:E541)</f>
        <v>0</v>
      </c>
      <c r="F527" s="991">
        <f>SUM(F528:F541)</f>
        <v>71307760</v>
      </c>
      <c r="G527" s="991">
        <f>SUM(G528:G541)</f>
        <v>71307760</v>
      </c>
      <c r="H527" s="991"/>
      <c r="I527" s="991">
        <f>SUM(I528:I541)</f>
        <v>11135750</v>
      </c>
      <c r="J527" s="619" t="s">
        <v>963</v>
      </c>
    </row>
    <row r="528" spans="1:10">
      <c r="A528" s="1077">
        <v>119</v>
      </c>
      <c r="B528" s="2014" t="s">
        <v>1335</v>
      </c>
      <c r="C528" s="987" t="s">
        <v>1015</v>
      </c>
      <c r="D528" s="639">
        <v>4921500</v>
      </c>
      <c r="E528" s="639"/>
      <c r="F528" s="639">
        <f>SUM(G528:G529)</f>
        <v>4921500</v>
      </c>
      <c r="G528" s="991">
        <v>324000</v>
      </c>
      <c r="H528" s="1094">
        <v>43305</v>
      </c>
      <c r="I528" s="639">
        <f>+D528-F528</f>
        <v>0</v>
      </c>
      <c r="J528" s="698" t="s">
        <v>914</v>
      </c>
    </row>
    <row r="529" spans="1:10">
      <c r="A529" s="1096"/>
      <c r="B529" s="2016"/>
      <c r="C529" s="991"/>
      <c r="D529" s="991"/>
      <c r="E529" s="991"/>
      <c r="F529" s="991"/>
      <c r="G529" s="638">
        <v>4597500</v>
      </c>
      <c r="H529" s="668">
        <v>43306</v>
      </c>
      <c r="I529" s="991"/>
      <c r="J529" s="1116"/>
    </row>
    <row r="530" spans="1:10" ht="31.5">
      <c r="A530" s="477">
        <v>120</v>
      </c>
      <c r="B530" s="1097" t="s">
        <v>1336</v>
      </c>
      <c r="C530" s="497" t="s">
        <v>1019</v>
      </c>
      <c r="D530" s="639">
        <v>25890750</v>
      </c>
      <c r="E530" s="639"/>
      <c r="F530" s="639">
        <f>+G530</f>
        <v>14755000</v>
      </c>
      <c r="G530" s="639">
        <v>14755000</v>
      </c>
      <c r="H530" s="1098">
        <v>43389</v>
      </c>
      <c r="I530" s="639">
        <f>+D530-F530</f>
        <v>11135750</v>
      </c>
      <c r="J530" s="697" t="s">
        <v>974</v>
      </c>
    </row>
    <row r="531" spans="1:10">
      <c r="A531" s="1077">
        <v>121</v>
      </c>
      <c r="B531" s="2025" t="s">
        <v>1337</v>
      </c>
      <c r="C531" s="987" t="s">
        <v>1038</v>
      </c>
      <c r="D531" s="639">
        <v>11250000</v>
      </c>
      <c r="E531" s="639"/>
      <c r="F531" s="639">
        <f>SUM(G531:G533)</f>
        <v>11250000</v>
      </c>
      <c r="G531" s="638">
        <v>3750000</v>
      </c>
      <c r="H531" s="668">
        <v>43411</v>
      </c>
      <c r="I531" s="639">
        <f>+D531-F531</f>
        <v>0</v>
      </c>
      <c r="J531" s="698" t="s">
        <v>914</v>
      </c>
    </row>
    <row r="532" spans="1:10">
      <c r="A532" s="1071"/>
      <c r="B532" s="2026"/>
      <c r="C532" s="712"/>
      <c r="D532" s="654"/>
      <c r="E532" s="654"/>
      <c r="F532" s="654"/>
      <c r="G532" s="991">
        <v>3750000</v>
      </c>
      <c r="H532" s="1094">
        <v>43413</v>
      </c>
      <c r="I532" s="654"/>
      <c r="J532" s="1088"/>
    </row>
    <row r="533" spans="1:10">
      <c r="A533" s="1071"/>
      <c r="B533" s="961"/>
      <c r="C533" s="712"/>
      <c r="D533" s="654"/>
      <c r="E533" s="654"/>
      <c r="F533" s="654"/>
      <c r="G533" s="639">
        <v>3750000</v>
      </c>
      <c r="H533" s="1098">
        <v>43432</v>
      </c>
      <c r="I533" s="654"/>
      <c r="J533" s="1088"/>
    </row>
    <row r="534" spans="1:10">
      <c r="A534" s="1099">
        <v>122</v>
      </c>
      <c r="B534" s="2027" t="s">
        <v>1338</v>
      </c>
      <c r="C534" s="863" t="s">
        <v>1047</v>
      </c>
      <c r="D534" s="1100">
        <v>12395000</v>
      </c>
      <c r="E534" s="1100"/>
      <c r="F534" s="1100">
        <f>SUM(G534:G535)</f>
        <v>12395000</v>
      </c>
      <c r="G534" s="1100">
        <v>4000000</v>
      </c>
      <c r="H534" s="1101">
        <v>43391</v>
      </c>
      <c r="I534" s="1100">
        <f>+D534-F534</f>
        <v>0</v>
      </c>
      <c r="J534" s="1117" t="s">
        <v>914</v>
      </c>
    </row>
    <row r="535" spans="1:10">
      <c r="A535" s="1102"/>
      <c r="B535" s="2016"/>
      <c r="C535" s="564"/>
      <c r="D535" s="564"/>
      <c r="E535" s="564"/>
      <c r="F535" s="564"/>
      <c r="G535" s="638">
        <v>8395000</v>
      </c>
      <c r="H535" s="668">
        <v>43413</v>
      </c>
      <c r="I535" s="564"/>
      <c r="J535" s="1114"/>
    </row>
    <row r="536" spans="1:10" ht="31.5">
      <c r="A536" s="1071">
        <v>123</v>
      </c>
      <c r="B536" s="953" t="s">
        <v>1339</v>
      </c>
      <c r="C536" s="497" t="s">
        <v>1056</v>
      </c>
      <c r="D536" s="639">
        <v>3000000</v>
      </c>
      <c r="E536" s="639"/>
      <c r="F536" s="639">
        <f>+G536</f>
        <v>3000000</v>
      </c>
      <c r="G536" s="639">
        <v>3000000</v>
      </c>
      <c r="H536" s="1098">
        <v>43420</v>
      </c>
      <c r="I536" s="639">
        <f>+D536-F536</f>
        <v>0</v>
      </c>
      <c r="J536" s="698" t="s">
        <v>914</v>
      </c>
    </row>
    <row r="537" spans="1:10" ht="31.5">
      <c r="A537" s="1071">
        <v>124</v>
      </c>
      <c r="B537" s="909" t="s">
        <v>1340</v>
      </c>
      <c r="C537" s="987" t="s">
        <v>1041</v>
      </c>
      <c r="D537" s="639">
        <v>20250000</v>
      </c>
      <c r="E537" s="639"/>
      <c r="F537" s="639">
        <f>SUM(G537:G538)</f>
        <v>20250000</v>
      </c>
      <c r="G537" s="639">
        <v>15250000</v>
      </c>
      <c r="H537" s="1098">
        <v>43389</v>
      </c>
      <c r="I537" s="639">
        <f>+D537-F537</f>
        <v>0</v>
      </c>
      <c r="J537" s="698" t="s">
        <v>914</v>
      </c>
    </row>
    <row r="538" spans="1:10">
      <c r="A538" s="1074"/>
      <c r="B538" s="914"/>
      <c r="C538" s="563"/>
      <c r="D538" s="564"/>
      <c r="E538" s="564"/>
      <c r="F538" s="564"/>
      <c r="G538" s="639">
        <v>5000000</v>
      </c>
      <c r="H538" s="1098">
        <v>43411</v>
      </c>
      <c r="I538" s="564"/>
      <c r="J538" s="1089"/>
    </row>
    <row r="539" spans="1:10" ht="31.5">
      <c r="A539" s="1077">
        <v>125</v>
      </c>
      <c r="B539" s="909" t="s">
        <v>1341</v>
      </c>
      <c r="C539" s="497" t="s">
        <v>1105</v>
      </c>
      <c r="D539" s="639">
        <v>4300000</v>
      </c>
      <c r="E539" s="639"/>
      <c r="F539" s="639">
        <f>+G539</f>
        <v>4300000</v>
      </c>
      <c r="G539" s="639">
        <v>4300000</v>
      </c>
      <c r="H539" s="1098">
        <v>43389</v>
      </c>
      <c r="I539" s="639">
        <f>+D539-F539</f>
        <v>0</v>
      </c>
      <c r="J539" s="698" t="s">
        <v>914</v>
      </c>
    </row>
    <row r="540" spans="1:10">
      <c r="A540" s="1077">
        <v>126</v>
      </c>
      <c r="B540" s="2014" t="s">
        <v>1342</v>
      </c>
      <c r="C540" s="987" t="s">
        <v>1271</v>
      </c>
      <c r="D540" s="639">
        <v>436260</v>
      </c>
      <c r="E540" s="639"/>
      <c r="F540" s="639">
        <f>SUM(G540:G541)</f>
        <v>436260</v>
      </c>
      <c r="G540" s="639">
        <v>256260</v>
      </c>
      <c r="H540" s="1098">
        <v>43305</v>
      </c>
      <c r="I540" s="639">
        <f>+D540-F540</f>
        <v>0</v>
      </c>
      <c r="J540" s="698" t="s">
        <v>914</v>
      </c>
    </row>
    <row r="541" spans="1:10">
      <c r="A541" s="1077"/>
      <c r="B541" s="2016"/>
      <c r="C541" s="563"/>
      <c r="D541" s="563"/>
      <c r="E541" s="563"/>
      <c r="F541" s="563"/>
      <c r="G541" s="639">
        <v>180000</v>
      </c>
      <c r="H541" s="1098">
        <v>43306</v>
      </c>
      <c r="I541" s="563"/>
      <c r="J541" s="1089"/>
    </row>
    <row r="542" spans="1:10">
      <c r="A542" s="481"/>
      <c r="B542" s="902"/>
      <c r="C542" s="902"/>
      <c r="D542" s="903"/>
      <c r="E542" s="902"/>
      <c r="F542" s="903"/>
      <c r="G542" s="903"/>
      <c r="H542" s="902"/>
      <c r="I542" s="1039"/>
      <c r="J542" s="1040"/>
    </row>
    <row r="543" spans="1:10" ht="31.5">
      <c r="A543" s="1095" t="s">
        <v>1343</v>
      </c>
      <c r="B543" s="904" t="s">
        <v>1344</v>
      </c>
      <c r="C543" s="905" t="s">
        <v>1345</v>
      </c>
      <c r="D543" s="991">
        <f>SUM(D544:D545)</f>
        <v>3956262</v>
      </c>
      <c r="E543" s="991"/>
      <c r="F543" s="991">
        <f>SUM(F544:F545)</f>
        <v>3956262</v>
      </c>
      <c r="G543" s="991">
        <f>SUM(G544:G545)</f>
        <v>3956262</v>
      </c>
      <c r="H543" s="991"/>
      <c r="I543" s="991">
        <f>SUM(I544:I545)</f>
        <v>0</v>
      </c>
      <c r="J543" s="757" t="s">
        <v>957</v>
      </c>
    </row>
    <row r="544" spans="1:10" ht="31.5">
      <c r="A544" s="1103">
        <v>127</v>
      </c>
      <c r="B544" s="898" t="s">
        <v>1346</v>
      </c>
      <c r="C544" s="497" t="s">
        <v>1015</v>
      </c>
      <c r="D544" s="972">
        <v>1256262</v>
      </c>
      <c r="E544" s="898"/>
      <c r="F544" s="898">
        <f>+G544</f>
        <v>1256262</v>
      </c>
      <c r="G544" s="972">
        <v>1256262</v>
      </c>
      <c r="H544" s="1104">
        <v>43392</v>
      </c>
      <c r="I544" s="1118">
        <f>+D544-F544</f>
        <v>0</v>
      </c>
      <c r="J544" s="698" t="s">
        <v>914</v>
      </c>
    </row>
    <row r="545" spans="1:10" ht="31.5">
      <c r="A545" s="1105">
        <v>128</v>
      </c>
      <c r="B545" s="898" t="s">
        <v>1347</v>
      </c>
      <c r="C545" s="497" t="s">
        <v>1019</v>
      </c>
      <c r="D545" s="485">
        <v>2700000</v>
      </c>
      <c r="E545" s="497"/>
      <c r="F545" s="497">
        <f>+G545</f>
        <v>2700000</v>
      </c>
      <c r="G545" s="485">
        <v>2700000</v>
      </c>
      <c r="H545" s="1104">
        <v>43376</v>
      </c>
      <c r="I545" s="1119">
        <f>+D545-F545</f>
        <v>0</v>
      </c>
      <c r="J545" s="698" t="s">
        <v>914</v>
      </c>
    </row>
    <row r="546" spans="1:10">
      <c r="A546" s="481"/>
      <c r="B546" s="902"/>
      <c r="C546" s="902"/>
      <c r="D546" s="903"/>
      <c r="E546" s="902"/>
      <c r="F546" s="903"/>
      <c r="G546" s="903"/>
      <c r="H546" s="902"/>
      <c r="I546" s="1039"/>
      <c r="J546" s="1040"/>
    </row>
    <row r="547" spans="1:10" ht="31.5">
      <c r="A547" s="1095" t="s">
        <v>1348</v>
      </c>
      <c r="B547" s="904" t="s">
        <v>1043</v>
      </c>
      <c r="C547" s="905" t="s">
        <v>1044</v>
      </c>
      <c r="D547" s="991">
        <f>SUM(D548:D548)</f>
        <v>1510000</v>
      </c>
      <c r="E547" s="991"/>
      <c r="F547" s="991">
        <f>SUM(F548:F548)</f>
        <v>1510000</v>
      </c>
      <c r="G547" s="991">
        <f>SUM(G548:G548)</f>
        <v>1510000</v>
      </c>
      <c r="H547" s="991"/>
      <c r="I547" s="991">
        <f>SUM(I548:I548)</f>
        <v>0</v>
      </c>
      <c r="J547" s="619" t="s">
        <v>963</v>
      </c>
    </row>
    <row r="548" spans="1:10" ht="31.5">
      <c r="A548" s="1103">
        <v>129</v>
      </c>
      <c r="B548" s="898" t="s">
        <v>1349</v>
      </c>
      <c r="C548" s="497" t="s">
        <v>1019</v>
      </c>
      <c r="D548" s="972">
        <v>1510000</v>
      </c>
      <c r="E548" s="898"/>
      <c r="F548" s="898">
        <f>+G548</f>
        <v>1510000</v>
      </c>
      <c r="G548" s="972">
        <v>1510000</v>
      </c>
      <c r="H548" s="1104">
        <v>43389</v>
      </c>
      <c r="I548" s="1119">
        <f>+D548-F548</f>
        <v>0</v>
      </c>
      <c r="J548" s="698" t="s">
        <v>914</v>
      </c>
    </row>
    <row r="549" spans="1:10">
      <c r="A549" s="917"/>
      <c r="B549" s="918"/>
      <c r="C549" s="918"/>
      <c r="D549" s="919"/>
      <c r="E549" s="918"/>
      <c r="F549" s="919"/>
      <c r="G549" s="919"/>
      <c r="H549" s="918"/>
      <c r="I549" s="945"/>
      <c r="J549" s="946"/>
    </row>
    <row r="550" spans="1:10" ht="31.5">
      <c r="A550" s="985" t="s">
        <v>1350</v>
      </c>
      <c r="B550" s="895" t="s">
        <v>172</v>
      </c>
      <c r="C550" s="896" t="s">
        <v>1351</v>
      </c>
      <c r="D550" s="986">
        <f>SUM(D551:D553)</f>
        <v>1901000</v>
      </c>
      <c r="E550" s="986">
        <f>SUM(E551:E553)</f>
        <v>0</v>
      </c>
      <c r="F550" s="986">
        <f>SUM(F551:F553)</f>
        <v>1901000</v>
      </c>
      <c r="G550" s="986">
        <f>SUM(G551:G553)</f>
        <v>1901000</v>
      </c>
      <c r="H550" s="986"/>
      <c r="I550" s="986">
        <f>SUM(I551:I553)</f>
        <v>0</v>
      </c>
      <c r="J550" s="1091" t="s">
        <v>957</v>
      </c>
    </row>
    <row r="551" spans="1:10">
      <c r="A551" s="1103">
        <v>130</v>
      </c>
      <c r="B551" s="2014" t="s">
        <v>1352</v>
      </c>
      <c r="C551" s="987" t="s">
        <v>1015</v>
      </c>
      <c r="D551" s="1022">
        <v>1901000</v>
      </c>
      <c r="E551" s="824"/>
      <c r="F551" s="824">
        <f>SUM(G551:G553)</f>
        <v>1901000</v>
      </c>
      <c r="G551" s="972">
        <v>639000</v>
      </c>
      <c r="H551" s="1104">
        <v>43419</v>
      </c>
      <c r="I551" s="1120">
        <f>+D551-F551</f>
        <v>0</v>
      </c>
      <c r="J551" s="698" t="s">
        <v>914</v>
      </c>
    </row>
    <row r="552" spans="1:10">
      <c r="A552" s="1106"/>
      <c r="B552" s="2015"/>
      <c r="C552" s="825"/>
      <c r="D552" s="832"/>
      <c r="E552" s="825"/>
      <c r="F552" s="831"/>
      <c r="G552" s="485">
        <v>862000</v>
      </c>
      <c r="H552" s="1104">
        <v>43419</v>
      </c>
      <c r="I552" s="1121"/>
      <c r="J552" s="1088"/>
    </row>
    <row r="553" spans="1:10">
      <c r="A553" s="1031"/>
      <c r="B553" s="2016"/>
      <c r="C553" s="927"/>
      <c r="D553" s="1107"/>
      <c r="E553" s="1108"/>
      <c r="F553" s="874"/>
      <c r="G553" s="976">
        <v>400000</v>
      </c>
      <c r="H553" s="1104">
        <v>43419</v>
      </c>
      <c r="I553" s="1122"/>
      <c r="J553" s="616"/>
    </row>
    <row r="554" spans="1:10">
      <c r="A554" s="481"/>
      <c r="B554" s="902"/>
      <c r="C554" s="902"/>
      <c r="D554" s="903"/>
      <c r="E554" s="902"/>
      <c r="F554" s="903"/>
      <c r="G554" s="903"/>
      <c r="H554" s="902"/>
      <c r="I554" s="1039"/>
      <c r="J554" s="1040"/>
    </row>
    <row r="555" spans="1:10" ht="31.5">
      <c r="A555" s="1095" t="s">
        <v>1353</v>
      </c>
      <c r="B555" s="904" t="s">
        <v>1049</v>
      </c>
      <c r="C555" s="905" t="s">
        <v>1050</v>
      </c>
      <c r="D555" s="991">
        <f>SUM(D556:D557)</f>
        <v>2110000</v>
      </c>
      <c r="E555" s="991"/>
      <c r="F555" s="991">
        <f>SUM(F556:F557)</f>
        <v>0</v>
      </c>
      <c r="G555" s="991">
        <f>SUM(G556:G557)</f>
        <v>0</v>
      </c>
      <c r="H555" s="991">
        <f>SUM(H556:H557)</f>
        <v>0</v>
      </c>
      <c r="I555" s="991">
        <f>SUM(I556:I557)</f>
        <v>2110000</v>
      </c>
      <c r="J555" s="619" t="s">
        <v>963</v>
      </c>
    </row>
    <row r="556" spans="1:10" ht="47.25">
      <c r="A556" s="477">
        <v>131</v>
      </c>
      <c r="B556" s="670" t="s">
        <v>1354</v>
      </c>
      <c r="C556" s="987" t="s">
        <v>1047</v>
      </c>
      <c r="D556" s="638">
        <v>1000000</v>
      </c>
      <c r="E556" s="718"/>
      <c r="F556" s="714">
        <f>+G556</f>
        <v>0</v>
      </c>
      <c r="G556" s="714">
        <v>0</v>
      </c>
      <c r="H556" s="1109"/>
      <c r="I556" s="718">
        <f>+D556-F556</f>
        <v>1000000</v>
      </c>
      <c r="J556" s="697" t="s">
        <v>974</v>
      </c>
    </row>
    <row r="557" spans="1:10" ht="31.5">
      <c r="A557" s="477">
        <v>132</v>
      </c>
      <c r="B557" s="670" t="s">
        <v>1355</v>
      </c>
      <c r="C557" s="987" t="s">
        <v>1071</v>
      </c>
      <c r="D557" s="638">
        <v>1110000</v>
      </c>
      <c r="E557" s="718"/>
      <c r="F557" s="714">
        <f>+G557</f>
        <v>0</v>
      </c>
      <c r="G557" s="714">
        <v>0</v>
      </c>
      <c r="H557" s="1109"/>
      <c r="I557" s="718">
        <f>+D557-F557</f>
        <v>1110000</v>
      </c>
      <c r="J557" s="697" t="s">
        <v>974</v>
      </c>
    </row>
    <row r="558" spans="1:10">
      <c r="A558" s="481"/>
      <c r="B558" s="902"/>
      <c r="C558" s="902"/>
      <c r="D558" s="903"/>
      <c r="E558" s="902"/>
      <c r="F558" s="903"/>
      <c r="G558" s="903"/>
      <c r="H558" s="902"/>
      <c r="I558" s="1039"/>
      <c r="J558" s="1040"/>
    </row>
    <row r="559" spans="1:10" ht="31.5">
      <c r="A559" s="1095" t="s">
        <v>1356</v>
      </c>
      <c r="B559" s="904" t="s">
        <v>1049</v>
      </c>
      <c r="C559" s="905" t="s">
        <v>1058</v>
      </c>
      <c r="D559" s="991">
        <f t="shared" ref="D559:I559" si="21">SUM(D560:D560)</f>
        <v>531250</v>
      </c>
      <c r="E559" s="991">
        <f t="shared" si="21"/>
        <v>0</v>
      </c>
      <c r="F559" s="991">
        <f t="shared" si="21"/>
        <v>0</v>
      </c>
      <c r="G559" s="991">
        <f t="shared" si="21"/>
        <v>0</v>
      </c>
      <c r="H559" s="991">
        <f t="shared" si="21"/>
        <v>0</v>
      </c>
      <c r="I559" s="991">
        <f t="shared" si="21"/>
        <v>531250</v>
      </c>
      <c r="J559" s="619" t="s">
        <v>963</v>
      </c>
    </row>
    <row r="560" spans="1:10" ht="47.25">
      <c r="A560" s="1110">
        <v>133</v>
      </c>
      <c r="B560" s="702" t="s">
        <v>1357</v>
      </c>
      <c r="C560" s="1007" t="s">
        <v>1015</v>
      </c>
      <c r="D560" s="645">
        <v>531250</v>
      </c>
      <c r="E560" s="751"/>
      <c r="F560" s="1111">
        <f>+G560</f>
        <v>0</v>
      </c>
      <c r="G560" s="1111">
        <v>0</v>
      </c>
      <c r="H560" s="1112"/>
      <c r="I560" s="751">
        <f>+D560-F560</f>
        <v>531250</v>
      </c>
      <c r="J560" s="752" t="s">
        <v>974</v>
      </c>
    </row>
    <row r="561" spans="1:10" ht="31.5">
      <c r="A561" s="1095" t="s">
        <v>1358</v>
      </c>
      <c r="B561" s="904" t="s">
        <v>1359</v>
      </c>
      <c r="C561" s="905" t="s">
        <v>1360</v>
      </c>
      <c r="D561" s="991">
        <f>+D562</f>
        <v>28852050</v>
      </c>
      <c r="E561" s="991">
        <f>+E562</f>
        <v>0</v>
      </c>
      <c r="F561" s="991">
        <f>+F562</f>
        <v>0</v>
      </c>
      <c r="G561" s="991">
        <f>+G562</f>
        <v>0</v>
      </c>
      <c r="H561" s="991">
        <f>+H562</f>
        <v>0</v>
      </c>
      <c r="I561" s="991">
        <f>SUM(I562:I568)</f>
        <v>28852050</v>
      </c>
      <c r="J561" s="619" t="s">
        <v>963</v>
      </c>
    </row>
    <row r="562" spans="1:10" ht="31.5">
      <c r="A562" s="477">
        <v>134</v>
      </c>
      <c r="B562" s="907" t="s">
        <v>1361</v>
      </c>
      <c r="C562" s="497" t="s">
        <v>1041</v>
      </c>
      <c r="D562" s="638">
        <v>28852050</v>
      </c>
      <c r="E562" s="718"/>
      <c r="F562" s="714">
        <f>+G562</f>
        <v>0</v>
      </c>
      <c r="G562" s="714">
        <v>0</v>
      </c>
      <c r="H562" s="1109"/>
      <c r="I562" s="718">
        <f>+D562-F562</f>
        <v>28852050</v>
      </c>
      <c r="J562" s="697" t="s">
        <v>974</v>
      </c>
    </row>
    <row r="563" spans="1:10">
      <c r="A563" s="481"/>
      <c r="B563" s="902"/>
      <c r="C563" s="902"/>
      <c r="D563" s="903"/>
      <c r="E563" s="902"/>
      <c r="F563" s="903"/>
      <c r="G563" s="903"/>
      <c r="H563" s="902"/>
      <c r="I563" s="1039"/>
      <c r="J563" s="1040"/>
    </row>
    <row r="564" spans="1:10" ht="31.5">
      <c r="A564" s="1095" t="s">
        <v>1362</v>
      </c>
      <c r="B564" s="904" t="s">
        <v>193</v>
      </c>
      <c r="C564" s="905" t="s">
        <v>1363</v>
      </c>
      <c r="D564" s="991">
        <f>SUM(D565:D571)</f>
        <v>8553762</v>
      </c>
      <c r="E564" s="991"/>
      <c r="F564" s="991">
        <f>SUM(F565:F571)</f>
        <v>8553762</v>
      </c>
      <c r="G564" s="991">
        <f>SUM(G565:G571)</f>
        <v>8553762</v>
      </c>
      <c r="H564" s="991"/>
      <c r="I564" s="991">
        <f>SUM(I565:I571)</f>
        <v>0</v>
      </c>
      <c r="J564" s="757" t="s">
        <v>957</v>
      </c>
    </row>
    <row r="565" spans="1:10" ht="31.5">
      <c r="A565" s="1077">
        <v>135</v>
      </c>
      <c r="B565" s="909" t="s">
        <v>1364</v>
      </c>
      <c r="C565" s="987" t="s">
        <v>1015</v>
      </c>
      <c r="D565" s="988">
        <v>6297500</v>
      </c>
      <c r="E565" s="988"/>
      <c r="F565" s="988">
        <f>SUM(G565:G569)</f>
        <v>6297500</v>
      </c>
      <c r="G565" s="976">
        <v>4742500</v>
      </c>
      <c r="H565" s="1109">
        <v>43455</v>
      </c>
      <c r="I565" s="988">
        <f>+D565-F565</f>
        <v>0</v>
      </c>
      <c r="J565" s="949" t="s">
        <v>914</v>
      </c>
    </row>
    <row r="566" spans="1:10">
      <c r="A566" s="1071"/>
      <c r="B566" s="594"/>
      <c r="C566" s="825"/>
      <c r="D566" s="654"/>
      <c r="E566" s="712"/>
      <c r="F566" s="712"/>
      <c r="G566" s="976">
        <v>665000</v>
      </c>
      <c r="H566" s="1109">
        <v>43455</v>
      </c>
      <c r="I566" s="712"/>
      <c r="J566" s="1088"/>
    </row>
    <row r="567" spans="1:10">
      <c r="A567" s="1071"/>
      <c r="B567" s="594"/>
      <c r="C567" s="825"/>
      <c r="D567" s="654"/>
      <c r="E567" s="712"/>
      <c r="F567" s="712"/>
      <c r="G567" s="976">
        <v>170000</v>
      </c>
      <c r="H567" s="1109">
        <v>43455</v>
      </c>
      <c r="I567" s="712"/>
      <c r="J567" s="1088"/>
    </row>
    <row r="568" spans="1:10">
      <c r="A568" s="1071"/>
      <c r="B568" s="594"/>
      <c r="C568" s="825"/>
      <c r="D568" s="654"/>
      <c r="E568" s="712"/>
      <c r="F568" s="712"/>
      <c r="G568" s="976">
        <v>340000</v>
      </c>
      <c r="H568" s="1109">
        <v>43455</v>
      </c>
      <c r="I568" s="712"/>
      <c r="J568" s="1088"/>
    </row>
    <row r="569" spans="1:10">
      <c r="A569" s="1071"/>
      <c r="B569" s="562"/>
      <c r="C569" s="927"/>
      <c r="D569" s="564"/>
      <c r="E569" s="563"/>
      <c r="F569" s="563"/>
      <c r="G569" s="976">
        <v>380000</v>
      </c>
      <c r="H569" s="1109">
        <v>43455</v>
      </c>
      <c r="I569" s="563"/>
      <c r="J569" s="1089"/>
    </row>
    <row r="570" spans="1:10" ht="47.25">
      <c r="A570" s="1074">
        <v>136</v>
      </c>
      <c r="B570" s="1113" t="s">
        <v>1365</v>
      </c>
      <c r="C570" s="987" t="s">
        <v>1038</v>
      </c>
      <c r="D570" s="976">
        <v>1000000</v>
      </c>
      <c r="E570" s="718"/>
      <c r="F570" s="975">
        <f>+G570</f>
        <v>1000000</v>
      </c>
      <c r="G570" s="976">
        <v>1000000</v>
      </c>
      <c r="H570" s="1109">
        <v>43455</v>
      </c>
      <c r="I570" s="718">
        <f>+D570-F570</f>
        <v>0</v>
      </c>
      <c r="J570" s="698" t="s">
        <v>914</v>
      </c>
    </row>
    <row r="571" spans="1:10" ht="31.5">
      <c r="A571" s="477">
        <v>137</v>
      </c>
      <c r="B571" s="1097" t="s">
        <v>1366</v>
      </c>
      <c r="C571" s="987" t="s">
        <v>1047</v>
      </c>
      <c r="D571" s="976">
        <v>1256262</v>
      </c>
      <c r="E571" s="718"/>
      <c r="F571" s="975">
        <f>+G571</f>
        <v>1256262</v>
      </c>
      <c r="G571" s="976">
        <v>1256262</v>
      </c>
      <c r="H571" s="1109">
        <v>43455</v>
      </c>
      <c r="I571" s="718">
        <f>+D571-F571</f>
        <v>0</v>
      </c>
      <c r="J571" s="698" t="s">
        <v>914</v>
      </c>
    </row>
    <row r="572" spans="1:10" ht="31.5">
      <c r="A572" s="1095" t="s">
        <v>1367</v>
      </c>
      <c r="B572" s="904" t="s">
        <v>186</v>
      </c>
      <c r="C572" s="905" t="s">
        <v>1368</v>
      </c>
      <c r="D572" s="991">
        <f>SUM(D573:D584)</f>
        <v>34815750</v>
      </c>
      <c r="E572" s="991">
        <f>SUM(E573:E584)</f>
        <v>0</v>
      </c>
      <c r="F572" s="991">
        <f>SUM(F573:F584)</f>
        <v>34815750</v>
      </c>
      <c r="G572" s="991">
        <f>SUM(G573:G584)</f>
        <v>34815750</v>
      </c>
      <c r="H572" s="991"/>
      <c r="I572" s="991">
        <f>SUM(I573:I584)</f>
        <v>0</v>
      </c>
      <c r="J572" s="757" t="s">
        <v>957</v>
      </c>
    </row>
    <row r="573" spans="1:10">
      <c r="A573" s="1077">
        <v>138</v>
      </c>
      <c r="B573" s="2014" t="s">
        <v>1369</v>
      </c>
      <c r="C573" s="987" t="s">
        <v>1015</v>
      </c>
      <c r="D573" s="639">
        <v>10716000</v>
      </c>
      <c r="E573" s="1065"/>
      <c r="F573" s="639">
        <f>SUM(G573:G577)</f>
        <v>10716000</v>
      </c>
      <c r="G573" s="718">
        <v>1406000</v>
      </c>
      <c r="H573" s="1109">
        <v>43445</v>
      </c>
      <c r="I573" s="1065">
        <f>+D573-F573</f>
        <v>0</v>
      </c>
      <c r="J573" s="949" t="s">
        <v>914</v>
      </c>
    </row>
    <row r="574" spans="1:10">
      <c r="A574" s="1071"/>
      <c r="B574" s="2015"/>
      <c r="C574" s="825"/>
      <c r="D574" s="654"/>
      <c r="E574" s="712"/>
      <c r="F574" s="654"/>
      <c r="G574" s="718">
        <v>1710000</v>
      </c>
      <c r="H574" s="1109">
        <v>43462</v>
      </c>
      <c r="I574" s="712"/>
      <c r="J574" s="1088"/>
    </row>
    <row r="575" spans="1:10">
      <c r="A575" s="1071"/>
      <c r="B575" s="953"/>
      <c r="C575" s="825"/>
      <c r="D575" s="654"/>
      <c r="E575" s="712"/>
      <c r="F575" s="654"/>
      <c r="G575" s="718">
        <v>1900000</v>
      </c>
      <c r="H575" s="1109">
        <v>43462</v>
      </c>
      <c r="I575" s="712"/>
      <c r="J575" s="1088"/>
    </row>
    <row r="576" spans="1:10">
      <c r="A576" s="1071"/>
      <c r="B576" s="953"/>
      <c r="C576" s="825"/>
      <c r="D576" s="654"/>
      <c r="E576" s="712"/>
      <c r="F576" s="654"/>
      <c r="G576" s="718">
        <v>3800000</v>
      </c>
      <c r="H576" s="1109">
        <v>43462</v>
      </c>
      <c r="I576" s="712"/>
      <c r="J576" s="1088"/>
    </row>
    <row r="577" spans="1:10">
      <c r="A577" s="1074"/>
      <c r="B577" s="1123"/>
      <c r="C577" s="927"/>
      <c r="D577" s="564"/>
      <c r="E577" s="563"/>
      <c r="F577" s="564"/>
      <c r="G577" s="718">
        <v>1900000</v>
      </c>
      <c r="H577" s="1109">
        <v>43462</v>
      </c>
      <c r="I577" s="563"/>
      <c r="J577" s="1089"/>
    </row>
    <row r="578" spans="1:10">
      <c r="A578" s="1077">
        <v>139</v>
      </c>
      <c r="B578" s="2028" t="s">
        <v>1370</v>
      </c>
      <c r="C578" s="987" t="s">
        <v>1019</v>
      </c>
      <c r="D578" s="639">
        <v>7084750</v>
      </c>
      <c r="E578" s="1065"/>
      <c r="F578" s="639">
        <f>SUM(G578:G583)</f>
        <v>7084750</v>
      </c>
      <c r="G578" s="638">
        <v>1350000</v>
      </c>
      <c r="H578" s="1109">
        <v>43445</v>
      </c>
      <c r="I578" s="1065">
        <f>+D578-F578</f>
        <v>0</v>
      </c>
      <c r="J578" s="949" t="s">
        <v>914</v>
      </c>
    </row>
    <row r="579" spans="1:10">
      <c r="A579" s="1071"/>
      <c r="B579" s="2029"/>
      <c r="C579" s="825"/>
      <c r="D579" s="654"/>
      <c r="E579" s="712"/>
      <c r="F579" s="654"/>
      <c r="G579" s="638">
        <v>2900000</v>
      </c>
      <c r="H579" s="1109">
        <v>43445</v>
      </c>
      <c r="I579" s="712"/>
      <c r="J579" s="1088"/>
    </row>
    <row r="580" spans="1:10">
      <c r="A580" s="1071"/>
      <c r="B580" s="2029"/>
      <c r="C580" s="825"/>
      <c r="D580" s="654"/>
      <c r="E580" s="712"/>
      <c r="F580" s="654"/>
      <c r="G580" s="638">
        <v>303000</v>
      </c>
      <c r="H580" s="1109">
        <v>43445</v>
      </c>
      <c r="I580" s="712"/>
      <c r="J580" s="1088"/>
    </row>
    <row r="581" spans="1:10">
      <c r="A581" s="1071"/>
      <c r="B581" s="953"/>
      <c r="C581" s="825"/>
      <c r="D581" s="654"/>
      <c r="E581" s="712"/>
      <c r="F581" s="654"/>
      <c r="G581" s="638">
        <v>400000</v>
      </c>
      <c r="H581" s="1109">
        <v>43445</v>
      </c>
      <c r="I581" s="712"/>
      <c r="J581" s="1088"/>
    </row>
    <row r="582" spans="1:10">
      <c r="A582" s="1071"/>
      <c r="B582" s="953"/>
      <c r="C582" s="825"/>
      <c r="D582" s="654"/>
      <c r="E582" s="712"/>
      <c r="F582" s="654"/>
      <c r="G582" s="638">
        <v>696750</v>
      </c>
      <c r="H582" s="1109">
        <v>43445</v>
      </c>
      <c r="I582" s="712"/>
      <c r="J582" s="1088"/>
    </row>
    <row r="583" spans="1:10">
      <c r="A583" s="1074"/>
      <c r="B583" s="563"/>
      <c r="C583" s="563"/>
      <c r="D583" s="563"/>
      <c r="E583" s="563"/>
      <c r="F583" s="564"/>
      <c r="G583" s="638">
        <v>1435000</v>
      </c>
      <c r="H583" s="1109">
        <v>43445</v>
      </c>
      <c r="I583" s="563"/>
      <c r="J583" s="1089"/>
    </row>
    <row r="584" spans="1:10" ht="31.5">
      <c r="A584" s="1021">
        <v>140</v>
      </c>
      <c r="B584" s="479" t="s">
        <v>1371</v>
      </c>
      <c r="C584" s="987" t="s">
        <v>1047</v>
      </c>
      <c r="D584" s="976">
        <v>17015000</v>
      </c>
      <c r="E584" s="976"/>
      <c r="F584" s="976">
        <f>+G584</f>
        <v>17015000</v>
      </c>
      <c r="G584" s="901">
        <v>17015000</v>
      </c>
      <c r="H584" s="1104">
        <v>43445</v>
      </c>
      <c r="I584" s="1065">
        <f>+D584-F584</f>
        <v>0</v>
      </c>
      <c r="J584" s="949" t="s">
        <v>914</v>
      </c>
    </row>
    <row r="585" spans="1:10">
      <c r="A585" s="481"/>
      <c r="B585" s="902"/>
      <c r="C585" s="902"/>
      <c r="D585" s="903"/>
      <c r="E585" s="902"/>
      <c r="F585" s="903"/>
      <c r="G585" s="903"/>
      <c r="H585" s="902"/>
      <c r="I585" s="1039"/>
      <c r="J585" s="1040"/>
    </row>
    <row r="586" spans="1:10" ht="31.5">
      <c r="A586" s="1124" t="s">
        <v>1372</v>
      </c>
      <c r="B586" s="965" t="s">
        <v>1373</v>
      </c>
      <c r="C586" s="966" t="s">
        <v>1374</v>
      </c>
      <c r="D586" s="1125">
        <f>+D587</f>
        <v>14710000</v>
      </c>
      <c r="E586" s="1125">
        <f>+E587</f>
        <v>0</v>
      </c>
      <c r="F586" s="1125">
        <f>+F587</f>
        <v>14710000</v>
      </c>
      <c r="G586" s="1125">
        <f>+G587</f>
        <v>14710000</v>
      </c>
      <c r="H586" s="1125"/>
      <c r="I586" s="1125">
        <f>+I587</f>
        <v>0</v>
      </c>
      <c r="J586" s="1159" t="s">
        <v>957</v>
      </c>
    </row>
    <row r="587" spans="1:10" ht="47.25">
      <c r="A587" s="1126">
        <v>141</v>
      </c>
      <c r="B587" s="1127" t="s">
        <v>1375</v>
      </c>
      <c r="C587" s="969" t="s">
        <v>1056</v>
      </c>
      <c r="D587" s="1009">
        <v>14710000</v>
      </c>
      <c r="E587" s="1128"/>
      <c r="F587" s="1009">
        <f>+G587</f>
        <v>14710000</v>
      </c>
      <c r="G587" s="1009">
        <v>14710000</v>
      </c>
      <c r="H587" s="1129">
        <v>43445</v>
      </c>
      <c r="I587" s="753">
        <f>+D587-F587</f>
        <v>0</v>
      </c>
      <c r="J587" s="999" t="s">
        <v>914</v>
      </c>
    </row>
    <row r="588" spans="1:10">
      <c r="A588" s="481"/>
      <c r="B588" s="902"/>
      <c r="C588" s="902"/>
      <c r="D588" s="903"/>
      <c r="E588" s="902"/>
      <c r="F588" s="903"/>
      <c r="G588" s="903"/>
      <c r="H588" s="902"/>
      <c r="I588" s="1039"/>
      <c r="J588" s="1040"/>
    </row>
    <row r="589" spans="1:10" ht="31.5">
      <c r="A589" s="1095" t="s">
        <v>1376</v>
      </c>
      <c r="B589" s="904" t="s">
        <v>170</v>
      </c>
      <c r="C589" s="905" t="s">
        <v>1061</v>
      </c>
      <c r="D589" s="991">
        <f>SUM(D590:D594)</f>
        <v>5865509</v>
      </c>
      <c r="E589" s="991"/>
      <c r="F589" s="991">
        <f>SUM(F590:F594)</f>
        <v>0</v>
      </c>
      <c r="G589" s="991">
        <f>SUM(G590:G594)</f>
        <v>0</v>
      </c>
      <c r="H589" s="991"/>
      <c r="I589" s="991">
        <f>SUM(I590:I594)</f>
        <v>5865509</v>
      </c>
      <c r="J589" s="619" t="s">
        <v>963</v>
      </c>
    </row>
    <row r="590" spans="1:10" ht="31.5">
      <c r="A590" s="477">
        <v>142</v>
      </c>
      <c r="B590" s="907" t="s">
        <v>1377</v>
      </c>
      <c r="C590" s="987" t="s">
        <v>1047</v>
      </c>
      <c r="D590" s="638">
        <v>1204600</v>
      </c>
      <c r="E590" s="718"/>
      <c r="F590" s="714">
        <f>+G590</f>
        <v>0</v>
      </c>
      <c r="G590" s="714">
        <v>0</v>
      </c>
      <c r="H590" s="1109"/>
      <c r="I590" s="718">
        <f>+D590-F590</f>
        <v>1204600</v>
      </c>
      <c r="J590" s="697" t="s">
        <v>974</v>
      </c>
    </row>
    <row r="591" spans="1:10" ht="31.5">
      <c r="A591" s="477">
        <v>143</v>
      </c>
      <c r="B591" s="907" t="s">
        <v>1378</v>
      </c>
      <c r="C591" s="987" t="s">
        <v>1071</v>
      </c>
      <c r="D591" s="638">
        <v>700000</v>
      </c>
      <c r="E591" s="718"/>
      <c r="F591" s="714">
        <f>+G591</f>
        <v>0</v>
      </c>
      <c r="G591" s="714">
        <v>0</v>
      </c>
      <c r="H591" s="1109"/>
      <c r="I591" s="718">
        <f>+D591-F591</f>
        <v>700000</v>
      </c>
      <c r="J591" s="697" t="s">
        <v>974</v>
      </c>
    </row>
    <row r="592" spans="1:10" ht="31.5">
      <c r="A592" s="477">
        <v>144</v>
      </c>
      <c r="B592" s="909" t="s">
        <v>1379</v>
      </c>
      <c r="C592" s="987" t="s">
        <v>1056</v>
      </c>
      <c r="D592" s="638">
        <v>2065000</v>
      </c>
      <c r="E592" s="718"/>
      <c r="F592" s="714">
        <f>+G592</f>
        <v>0</v>
      </c>
      <c r="G592" s="714">
        <v>0</v>
      </c>
      <c r="H592" s="1109"/>
      <c r="I592" s="718">
        <f>+D592-F592</f>
        <v>2065000</v>
      </c>
      <c r="J592" s="697" t="s">
        <v>974</v>
      </c>
    </row>
    <row r="593" spans="1:10" ht="31.5">
      <c r="A593" s="477">
        <v>145</v>
      </c>
      <c r="B593" s="909" t="s">
        <v>1380</v>
      </c>
      <c r="C593" s="987" t="s">
        <v>1105</v>
      </c>
      <c r="D593" s="638">
        <v>805000</v>
      </c>
      <c r="E593" s="718"/>
      <c r="F593" s="714">
        <f>+G593</f>
        <v>0</v>
      </c>
      <c r="G593" s="714">
        <v>0</v>
      </c>
      <c r="H593" s="1109"/>
      <c r="I593" s="718">
        <f>+D593-F593</f>
        <v>805000</v>
      </c>
      <c r="J593" s="755" t="s">
        <v>974</v>
      </c>
    </row>
    <row r="594" spans="1:10" ht="31.5">
      <c r="A594" s="1077">
        <v>146</v>
      </c>
      <c r="B594" s="909" t="s">
        <v>1381</v>
      </c>
      <c r="C594" s="987" t="s">
        <v>1271</v>
      </c>
      <c r="D594" s="638">
        <v>1090909</v>
      </c>
      <c r="E594" s="718"/>
      <c r="F594" s="714">
        <f>+G594</f>
        <v>0</v>
      </c>
      <c r="G594" s="714">
        <v>0</v>
      </c>
      <c r="H594" s="1109"/>
      <c r="I594" s="718">
        <f>+D594-F594</f>
        <v>1090909</v>
      </c>
      <c r="J594" s="697" t="s">
        <v>974</v>
      </c>
    </row>
    <row r="595" spans="1:10">
      <c r="A595" s="481"/>
      <c r="B595" s="902"/>
      <c r="C595" s="902"/>
      <c r="D595" s="903"/>
      <c r="E595" s="902"/>
      <c r="F595" s="903"/>
      <c r="G595" s="903"/>
      <c r="H595" s="902"/>
      <c r="I595" s="1039"/>
      <c r="J595" s="1040"/>
    </row>
    <row r="596" spans="1:10" ht="31.5">
      <c r="A596" s="1095" t="s">
        <v>1382</v>
      </c>
      <c r="B596" s="904" t="s">
        <v>166</v>
      </c>
      <c r="C596" s="905" t="s">
        <v>1383</v>
      </c>
      <c r="D596" s="991">
        <f t="shared" ref="D596:I596" si="22">SUM(D597:D598)</f>
        <v>2587000</v>
      </c>
      <c r="E596" s="991">
        <f t="shared" si="22"/>
        <v>0</v>
      </c>
      <c r="F596" s="991">
        <f t="shared" si="22"/>
        <v>0</v>
      </c>
      <c r="G596" s="991">
        <f t="shared" si="22"/>
        <v>0</v>
      </c>
      <c r="H596" s="991">
        <f t="shared" si="22"/>
        <v>0</v>
      </c>
      <c r="I596" s="991">
        <f t="shared" si="22"/>
        <v>2587000</v>
      </c>
      <c r="J596" s="619" t="s">
        <v>963</v>
      </c>
    </row>
    <row r="597" spans="1:10" ht="31.5">
      <c r="A597" s="477">
        <v>147</v>
      </c>
      <c r="B597" s="907" t="s">
        <v>1384</v>
      </c>
      <c r="C597" s="987" t="s">
        <v>1019</v>
      </c>
      <c r="D597" s="976">
        <v>572000</v>
      </c>
      <c r="E597" s="718"/>
      <c r="F597" s="714">
        <f>+G597</f>
        <v>0</v>
      </c>
      <c r="G597" s="714">
        <v>0</v>
      </c>
      <c r="H597" s="1109"/>
      <c r="I597" s="718">
        <f>+D597-F597</f>
        <v>572000</v>
      </c>
      <c r="J597" s="697" t="s">
        <v>974</v>
      </c>
    </row>
    <row r="598" spans="1:10" ht="31.5">
      <c r="A598" s="477">
        <v>148</v>
      </c>
      <c r="B598" s="1130" t="s">
        <v>1385</v>
      </c>
      <c r="C598" s="497" t="s">
        <v>1038</v>
      </c>
      <c r="D598" s="976">
        <v>2015000</v>
      </c>
      <c r="E598" s="718"/>
      <c r="F598" s="714">
        <f>+G598</f>
        <v>0</v>
      </c>
      <c r="G598" s="714">
        <v>0</v>
      </c>
      <c r="H598" s="1109"/>
      <c r="I598" s="718">
        <f>+D598-F598</f>
        <v>2015000</v>
      </c>
      <c r="J598" s="697" t="s">
        <v>974</v>
      </c>
    </row>
    <row r="599" spans="1:10">
      <c r="A599" s="481"/>
      <c r="B599" s="902"/>
      <c r="C599" s="902"/>
      <c r="D599" s="903"/>
      <c r="E599" s="902"/>
      <c r="F599" s="903"/>
      <c r="G599" s="903"/>
      <c r="H599" s="902"/>
      <c r="I599" s="1039"/>
      <c r="J599" s="1040"/>
    </row>
    <row r="600" spans="1:10" ht="31.5">
      <c r="A600" s="1131" t="s">
        <v>1386</v>
      </c>
      <c r="B600" s="904" t="s">
        <v>1387</v>
      </c>
      <c r="C600" s="905" t="s">
        <v>1388</v>
      </c>
      <c r="D600" s="991">
        <f>SUM(D601)</f>
        <v>4154000</v>
      </c>
      <c r="E600" s="991"/>
      <c r="F600" s="991">
        <f>SUM(F601)</f>
        <v>0</v>
      </c>
      <c r="G600" s="991">
        <f>SUM(G601)</f>
        <v>0</v>
      </c>
      <c r="H600" s="991">
        <f>SUM(H601)</f>
        <v>0</v>
      </c>
      <c r="I600" s="991">
        <f>SUM(I601)</f>
        <v>4154000</v>
      </c>
      <c r="J600" s="619" t="s">
        <v>963</v>
      </c>
    </row>
    <row r="601" spans="1:10" ht="47.25">
      <c r="A601" s="1110">
        <v>149</v>
      </c>
      <c r="B601" s="1132" t="s">
        <v>1389</v>
      </c>
      <c r="C601" s="1007" t="s">
        <v>1038</v>
      </c>
      <c r="D601" s="645">
        <v>4154000</v>
      </c>
      <c r="E601" s="751"/>
      <c r="F601" s="1111">
        <f>+G601</f>
        <v>0</v>
      </c>
      <c r="G601" s="1111">
        <v>0</v>
      </c>
      <c r="H601" s="751"/>
      <c r="I601" s="1111">
        <f>+D601-F601</f>
        <v>4154000</v>
      </c>
      <c r="J601" s="752" t="s">
        <v>974</v>
      </c>
    </row>
    <row r="602" spans="1:10">
      <c r="A602" s="1013"/>
      <c r="B602" s="1014"/>
      <c r="C602" s="1014"/>
      <c r="D602" s="1015"/>
      <c r="E602" s="1014"/>
      <c r="F602" s="1015"/>
      <c r="G602" s="1015"/>
      <c r="H602" s="1014"/>
      <c r="I602" s="1043"/>
      <c r="J602" s="1044"/>
    </row>
    <row r="603" spans="1:10" ht="31.5">
      <c r="A603" s="1131" t="s">
        <v>1390</v>
      </c>
      <c r="B603" s="904" t="s">
        <v>192</v>
      </c>
      <c r="C603" s="905" t="s">
        <v>1391</v>
      </c>
      <c r="D603" s="991">
        <f>SUM(D604:D608)</f>
        <v>5140500</v>
      </c>
      <c r="E603" s="991"/>
      <c r="F603" s="991">
        <f>SUM(F604:F608)</f>
        <v>0</v>
      </c>
      <c r="G603" s="991">
        <f>SUM(G604:G608)</f>
        <v>0</v>
      </c>
      <c r="H603" s="991">
        <f>SUM(H604:H608)</f>
        <v>0</v>
      </c>
      <c r="I603" s="991">
        <f>SUM(I604:I608)</f>
        <v>5140500</v>
      </c>
      <c r="J603" s="619" t="s">
        <v>963</v>
      </c>
    </row>
    <row r="604" spans="1:10">
      <c r="A604" s="1077">
        <v>150</v>
      </c>
      <c r="B604" s="2023" t="s">
        <v>1392</v>
      </c>
      <c r="C604" s="987" t="s">
        <v>1071</v>
      </c>
      <c r="D604" s="638">
        <v>675000</v>
      </c>
      <c r="E604" s="1065"/>
      <c r="F604" s="713">
        <f>+G604</f>
        <v>0</v>
      </c>
      <c r="G604" s="714">
        <v>0</v>
      </c>
      <c r="H604" s="1065"/>
      <c r="I604" s="996">
        <f>+D604-F604</f>
        <v>675000</v>
      </c>
      <c r="J604" s="697" t="s">
        <v>974</v>
      </c>
    </row>
    <row r="605" spans="1:10">
      <c r="A605" s="1133"/>
      <c r="B605" s="2024"/>
      <c r="C605" s="878"/>
      <c r="D605" s="901">
        <v>1250000</v>
      </c>
      <c r="E605" s="961"/>
      <c r="F605" s="713">
        <f>+G605</f>
        <v>0</v>
      </c>
      <c r="G605" s="714">
        <v>0</v>
      </c>
      <c r="H605" s="978"/>
      <c r="I605" s="996">
        <f>+D605-F605</f>
        <v>1250000</v>
      </c>
      <c r="J605" s="697" t="s">
        <v>974</v>
      </c>
    </row>
    <row r="606" spans="1:10">
      <c r="A606" s="1133"/>
      <c r="B606" s="2024"/>
      <c r="C606" s="878"/>
      <c r="D606" s="901">
        <v>1683500</v>
      </c>
      <c r="E606" s="961"/>
      <c r="F606" s="713">
        <f>+G606</f>
        <v>0</v>
      </c>
      <c r="G606" s="714">
        <v>0</v>
      </c>
      <c r="H606" s="978"/>
      <c r="I606" s="996">
        <f>+D606-F606</f>
        <v>1683500</v>
      </c>
      <c r="J606" s="697" t="s">
        <v>974</v>
      </c>
    </row>
    <row r="607" spans="1:10">
      <c r="A607" s="1133"/>
      <c r="B607" s="1134"/>
      <c r="C607" s="878"/>
      <c r="D607" s="901">
        <v>360000</v>
      </c>
      <c r="E607" s="961"/>
      <c r="F607" s="713">
        <f>+G607</f>
        <v>0</v>
      </c>
      <c r="G607" s="714">
        <v>0</v>
      </c>
      <c r="H607" s="978"/>
      <c r="I607" s="996">
        <f>+D607-F607</f>
        <v>360000</v>
      </c>
      <c r="J607" s="697" t="s">
        <v>974</v>
      </c>
    </row>
    <row r="608" spans="1:10">
      <c r="A608" s="1135"/>
      <c r="B608" s="1136"/>
      <c r="C608" s="875"/>
      <c r="D608" s="901">
        <v>1172000</v>
      </c>
      <c r="E608" s="914"/>
      <c r="F608" s="713">
        <f>+G608</f>
        <v>0</v>
      </c>
      <c r="G608" s="714">
        <v>0</v>
      </c>
      <c r="H608" s="978"/>
      <c r="I608" s="996">
        <f>+D608-F608</f>
        <v>1172000</v>
      </c>
      <c r="J608" s="697" t="s">
        <v>974</v>
      </c>
    </row>
    <row r="609" spans="1:10">
      <c r="A609" s="481"/>
      <c r="B609" s="902"/>
      <c r="C609" s="902"/>
      <c r="D609" s="903"/>
      <c r="E609" s="902"/>
      <c r="F609" s="903"/>
      <c r="G609" s="903"/>
      <c r="H609" s="902"/>
      <c r="I609" s="1039"/>
      <c r="J609" s="1040"/>
    </row>
    <row r="610" spans="1:10" ht="31.5">
      <c r="A610" s="1131" t="s">
        <v>1393</v>
      </c>
      <c r="B610" s="904" t="s">
        <v>1067</v>
      </c>
      <c r="C610" s="905" t="s">
        <v>1068</v>
      </c>
      <c r="D610" s="991">
        <f>SUM(D611:D612)</f>
        <v>6390000</v>
      </c>
      <c r="E610" s="991"/>
      <c r="F610" s="991">
        <f>SUM(F611:F612)</f>
        <v>0</v>
      </c>
      <c r="G610" s="991">
        <f>SUM(G611:G612)</f>
        <v>0</v>
      </c>
      <c r="H610" s="991">
        <f>SUM(H611:H612)</f>
        <v>0</v>
      </c>
      <c r="I610" s="991">
        <f>SUM(I611:I613)</f>
        <v>6390000</v>
      </c>
      <c r="J610" s="619" t="s">
        <v>963</v>
      </c>
    </row>
    <row r="611" spans="1:10" ht="47.25">
      <c r="A611" s="481">
        <v>151</v>
      </c>
      <c r="B611" s="661" t="s">
        <v>1394</v>
      </c>
      <c r="C611" s="987" t="s">
        <v>1019</v>
      </c>
      <c r="D611" s="638">
        <v>6000000</v>
      </c>
      <c r="E611" s="1065"/>
      <c r="F611" s="713">
        <f>+G611</f>
        <v>0</v>
      </c>
      <c r="G611" s="714">
        <v>0</v>
      </c>
      <c r="H611" s="1065"/>
      <c r="I611" s="996">
        <f>+D611-F611</f>
        <v>6000000</v>
      </c>
      <c r="J611" s="697" t="s">
        <v>974</v>
      </c>
    </row>
    <row r="612" spans="1:10" ht="31.5">
      <c r="A612" s="1133">
        <v>152</v>
      </c>
      <c r="B612" s="972" t="s">
        <v>1395</v>
      </c>
      <c r="C612" s="987" t="s">
        <v>1047</v>
      </c>
      <c r="D612" s="901">
        <v>390000</v>
      </c>
      <c r="E612" s="961"/>
      <c r="F612" s="713">
        <f>+G612</f>
        <v>0</v>
      </c>
      <c r="G612" s="714">
        <v>0</v>
      </c>
      <c r="H612" s="978"/>
      <c r="I612" s="996">
        <f>+D612-F612</f>
        <v>390000</v>
      </c>
      <c r="J612" s="697" t="s">
        <v>974</v>
      </c>
    </row>
    <row r="613" spans="1:10">
      <c r="A613" s="481"/>
      <c r="B613" s="902"/>
      <c r="C613" s="902"/>
      <c r="D613" s="903"/>
      <c r="E613" s="902"/>
      <c r="F613" s="903"/>
      <c r="G613" s="903"/>
      <c r="H613" s="902"/>
      <c r="I613" s="1039"/>
      <c r="J613" s="1040"/>
    </row>
    <row r="614" spans="1:10" ht="31.5">
      <c r="A614" s="1131" t="s">
        <v>1396</v>
      </c>
      <c r="B614" s="904" t="s">
        <v>1397</v>
      </c>
      <c r="C614" s="905" t="s">
        <v>1398</v>
      </c>
      <c r="D614" s="991">
        <f>SUM(D615:D620)</f>
        <v>9074676</v>
      </c>
      <c r="E614" s="991">
        <f>SUM(E615:E620)</f>
        <v>0</v>
      </c>
      <c r="F614" s="991">
        <f>SUM(F615:F620)</f>
        <v>3967200</v>
      </c>
      <c r="G614" s="991">
        <f>SUM(G615:G620)</f>
        <v>3967200</v>
      </c>
      <c r="H614" s="991"/>
      <c r="I614" s="991">
        <f>SUM(I615:I620)</f>
        <v>5107476</v>
      </c>
      <c r="J614" s="619" t="s">
        <v>963</v>
      </c>
    </row>
    <row r="615" spans="1:10" ht="31.5">
      <c r="A615" s="823">
        <v>153</v>
      </c>
      <c r="B615" s="2030" t="s">
        <v>1399</v>
      </c>
      <c r="C615" s="497" t="s">
        <v>1015</v>
      </c>
      <c r="D615" s="976">
        <v>6627200</v>
      </c>
      <c r="E615" s="1138"/>
      <c r="F615" s="976">
        <f>SUM(G615:G617)</f>
        <v>3207200</v>
      </c>
      <c r="G615" s="1139">
        <v>1687200</v>
      </c>
      <c r="H615" s="1140">
        <v>43451</v>
      </c>
      <c r="I615" s="1085">
        <f>+D615-F615</f>
        <v>3420000</v>
      </c>
      <c r="J615" s="993" t="s">
        <v>1039</v>
      </c>
    </row>
    <row r="616" spans="1:10">
      <c r="A616" s="1133"/>
      <c r="B616" s="2031"/>
      <c r="C616" s="825"/>
      <c r="D616" s="962"/>
      <c r="E616" s="1141"/>
      <c r="F616" s="1142"/>
      <c r="G616" s="1143">
        <v>912000</v>
      </c>
      <c r="H616" s="1144">
        <v>43460</v>
      </c>
      <c r="I616" s="1160"/>
      <c r="J616" s="1088"/>
    </row>
    <row r="617" spans="1:10">
      <c r="A617" s="1135"/>
      <c r="B617" s="1016"/>
      <c r="C617" s="927"/>
      <c r="D617" s="963"/>
      <c r="E617" s="1145"/>
      <c r="F617" s="1146"/>
      <c r="G617" s="1139">
        <v>608000</v>
      </c>
      <c r="H617" s="1140">
        <v>43431</v>
      </c>
      <c r="I617" s="996"/>
      <c r="J617" s="1089"/>
    </row>
    <row r="618" spans="1:10" ht="31.5">
      <c r="A618" s="481">
        <v>154</v>
      </c>
      <c r="B618" s="972" t="s">
        <v>1400</v>
      </c>
      <c r="C618" s="497" t="s">
        <v>1019</v>
      </c>
      <c r="D618" s="901">
        <v>912476</v>
      </c>
      <c r="E618" s="714"/>
      <c r="F618" s="1138">
        <f>+G618</f>
        <v>0</v>
      </c>
      <c r="G618" s="1139">
        <v>0</v>
      </c>
      <c r="H618" s="1147"/>
      <c r="I618" s="1085">
        <f>+D618-F618</f>
        <v>912476</v>
      </c>
      <c r="J618" s="1161" t="s">
        <v>1039</v>
      </c>
    </row>
    <row r="619" spans="1:10" ht="31.5">
      <c r="A619" s="481">
        <v>155</v>
      </c>
      <c r="B619" s="972" t="s">
        <v>1401</v>
      </c>
      <c r="C619" s="497" t="s">
        <v>1038</v>
      </c>
      <c r="D619" s="901">
        <v>760000</v>
      </c>
      <c r="E619" s="714"/>
      <c r="F619" s="1138">
        <f>+G619</f>
        <v>760000</v>
      </c>
      <c r="G619" s="1139">
        <v>760000</v>
      </c>
      <c r="H619" s="1140">
        <v>43431</v>
      </c>
      <c r="I619" s="1085">
        <f>+D619-F619</f>
        <v>0</v>
      </c>
      <c r="J619" s="1161" t="s">
        <v>1039</v>
      </c>
    </row>
    <row r="620" spans="1:10" ht="31.5">
      <c r="A620" s="481">
        <v>156</v>
      </c>
      <c r="B620" s="485" t="s">
        <v>1402</v>
      </c>
      <c r="C620" s="497" t="s">
        <v>1047</v>
      </c>
      <c r="D620" s="901">
        <v>775000</v>
      </c>
      <c r="E620" s="975"/>
      <c r="F620" s="1138">
        <f>+G620</f>
        <v>0</v>
      </c>
      <c r="G620" s="1139">
        <v>0</v>
      </c>
      <c r="H620" s="978"/>
      <c r="I620" s="1085">
        <f>+D620-F620</f>
        <v>775000</v>
      </c>
      <c r="J620" s="1161" t="s">
        <v>1039</v>
      </c>
    </row>
    <row r="621" spans="1:10">
      <c r="A621" s="481"/>
      <c r="B621" s="902"/>
      <c r="C621" s="902"/>
      <c r="D621" s="903"/>
      <c r="E621" s="902"/>
      <c r="F621" s="903"/>
      <c r="G621" s="903"/>
      <c r="H621" s="902"/>
      <c r="I621" s="1039"/>
      <c r="J621" s="1040"/>
    </row>
    <row r="622" spans="1:10" ht="31.5">
      <c r="A622" s="1131" t="s">
        <v>1403</v>
      </c>
      <c r="B622" s="904" t="s">
        <v>1404</v>
      </c>
      <c r="C622" s="905" t="s">
        <v>1405</v>
      </c>
      <c r="D622" s="991">
        <f>+D623</f>
        <v>478000</v>
      </c>
      <c r="E622" s="991"/>
      <c r="F622" s="991">
        <f>+F623</f>
        <v>0</v>
      </c>
      <c r="G622" s="991">
        <f>+G623</f>
        <v>0</v>
      </c>
      <c r="H622" s="991">
        <f>+H623</f>
        <v>0</v>
      </c>
      <c r="I622" s="991">
        <f>+I623</f>
        <v>478000</v>
      </c>
      <c r="J622" s="619" t="s">
        <v>963</v>
      </c>
    </row>
    <row r="623" spans="1:10" ht="31.5">
      <c r="A623" s="481">
        <v>157</v>
      </c>
      <c r="B623" s="479" t="s">
        <v>1406</v>
      </c>
      <c r="C623" s="497" t="s">
        <v>1019</v>
      </c>
      <c r="D623" s="976">
        <v>478000</v>
      </c>
      <c r="E623" s="1138"/>
      <c r="F623" s="1138">
        <f>+G623</f>
        <v>0</v>
      </c>
      <c r="G623" s="1138">
        <v>0</v>
      </c>
      <c r="H623" s="829"/>
      <c r="I623" s="1085">
        <f>+D623-F623</f>
        <v>478000</v>
      </c>
      <c r="J623" s="993" t="s">
        <v>1039</v>
      </c>
    </row>
    <row r="624" spans="1:10">
      <c r="A624" s="481"/>
      <c r="B624" s="902"/>
      <c r="C624" s="902"/>
      <c r="D624" s="903"/>
      <c r="E624" s="902"/>
      <c r="F624" s="903"/>
      <c r="G624" s="903"/>
      <c r="H624" s="902"/>
      <c r="I624" s="1039"/>
      <c r="J624" s="1040"/>
    </row>
    <row r="625" spans="1:10" ht="31.5">
      <c r="A625" s="1131" t="s">
        <v>1407</v>
      </c>
      <c r="B625" s="904" t="s">
        <v>1408</v>
      </c>
      <c r="C625" s="905" t="s">
        <v>1409</v>
      </c>
      <c r="D625" s="991">
        <f t="shared" ref="D625:I625" si="23">SUM(D626:D631)</f>
        <v>1898250</v>
      </c>
      <c r="E625" s="991">
        <f t="shared" si="23"/>
        <v>0</v>
      </c>
      <c r="F625" s="991">
        <f t="shared" si="23"/>
        <v>0</v>
      </c>
      <c r="G625" s="991">
        <f t="shared" si="23"/>
        <v>0</v>
      </c>
      <c r="H625" s="991">
        <f t="shared" si="23"/>
        <v>0</v>
      </c>
      <c r="I625" s="991">
        <f t="shared" si="23"/>
        <v>1898250</v>
      </c>
      <c r="J625" s="619" t="s">
        <v>963</v>
      </c>
    </row>
    <row r="626" spans="1:10" ht="31.5">
      <c r="A626" s="481">
        <v>158</v>
      </c>
      <c r="B626" s="881" t="s">
        <v>1410</v>
      </c>
      <c r="C626" s="987" t="s">
        <v>1015</v>
      </c>
      <c r="D626" s="988">
        <v>800000</v>
      </c>
      <c r="E626" s="1148"/>
      <c r="F626" s="1148">
        <f>+G626</f>
        <v>0</v>
      </c>
      <c r="G626" s="1138">
        <v>0</v>
      </c>
      <c r="H626" s="912"/>
      <c r="I626" s="1162">
        <f>+D626-F626</f>
        <v>800000</v>
      </c>
      <c r="J626" s="1161" t="s">
        <v>1411</v>
      </c>
    </row>
    <row r="627" spans="1:10">
      <c r="A627" s="1133"/>
      <c r="B627" s="832"/>
      <c r="C627" s="825"/>
      <c r="D627" s="962"/>
      <c r="E627" s="1141"/>
      <c r="F627" s="1142">
        <f>+G627</f>
        <v>0</v>
      </c>
      <c r="G627" s="714">
        <v>0</v>
      </c>
      <c r="H627" s="978"/>
      <c r="I627" s="1160"/>
      <c r="J627" s="1088"/>
    </row>
    <row r="628" spans="1:10">
      <c r="A628" s="1133"/>
      <c r="B628" s="1023"/>
      <c r="C628" s="825"/>
      <c r="D628" s="962"/>
      <c r="E628" s="1141"/>
      <c r="F628" s="1142">
        <f>+G628</f>
        <v>0</v>
      </c>
      <c r="G628" s="714">
        <v>0</v>
      </c>
      <c r="H628" s="978"/>
      <c r="I628" s="1160"/>
      <c r="J628" s="1088"/>
    </row>
    <row r="629" spans="1:10">
      <c r="A629" s="1135"/>
      <c r="B629" s="1016"/>
      <c r="C629" s="927"/>
      <c r="D629" s="963"/>
      <c r="E629" s="1145"/>
      <c r="F629" s="1146">
        <f>+G629</f>
        <v>0</v>
      </c>
      <c r="G629" s="714">
        <v>0</v>
      </c>
      <c r="H629" s="978"/>
      <c r="I629" s="996"/>
      <c r="J629" s="1089"/>
    </row>
    <row r="630" spans="1:10" ht="31.5">
      <c r="A630" s="1149">
        <v>159</v>
      </c>
      <c r="B630" s="1022" t="s">
        <v>1412</v>
      </c>
      <c r="C630" s="987" t="s">
        <v>1019</v>
      </c>
      <c r="D630" s="910">
        <v>1098250</v>
      </c>
      <c r="E630" s="713"/>
      <c r="F630" s="713"/>
      <c r="G630" s="714">
        <v>0</v>
      </c>
      <c r="H630" s="978"/>
      <c r="I630" s="1162">
        <f>+D630-F630</f>
        <v>1098250</v>
      </c>
      <c r="J630" s="1161" t="s">
        <v>1411</v>
      </c>
    </row>
    <row r="631" spans="1:10">
      <c r="A631" s="1150"/>
      <c r="B631" s="1151"/>
      <c r="C631" s="1151"/>
      <c r="D631" s="1151"/>
      <c r="E631" s="1151"/>
      <c r="F631" s="1152"/>
      <c r="G631" s="1153">
        <v>0</v>
      </c>
      <c r="H631" s="1154"/>
      <c r="I631" s="1152"/>
      <c r="J631" s="1163"/>
    </row>
    <row r="632" spans="1:10">
      <c r="A632" s="1155"/>
      <c r="B632" s="1014"/>
      <c r="C632" s="1014"/>
      <c r="D632" s="1015"/>
      <c r="E632" s="1014"/>
      <c r="F632" s="1015"/>
      <c r="G632" s="1015"/>
      <c r="H632" s="1014"/>
      <c r="I632" s="1043"/>
      <c r="J632" s="1014"/>
    </row>
    <row r="633" spans="1:10" ht="47.25">
      <c r="A633" s="1131" t="s">
        <v>1413</v>
      </c>
      <c r="B633" s="904" t="s">
        <v>1414</v>
      </c>
      <c r="C633" s="905" t="s">
        <v>1415</v>
      </c>
      <c r="D633" s="991">
        <f t="shared" ref="D633:I633" si="24">SUM(D634:D636)</f>
        <v>3854265</v>
      </c>
      <c r="E633" s="991">
        <f t="shared" si="24"/>
        <v>0</v>
      </c>
      <c r="F633" s="991">
        <f t="shared" si="24"/>
        <v>0</v>
      </c>
      <c r="G633" s="991">
        <f t="shared" si="24"/>
        <v>0</v>
      </c>
      <c r="H633" s="991">
        <f t="shared" si="24"/>
        <v>0</v>
      </c>
      <c r="I633" s="991">
        <f t="shared" si="24"/>
        <v>3854265</v>
      </c>
      <c r="J633" s="619" t="s">
        <v>963</v>
      </c>
    </row>
    <row r="634" spans="1:10" ht="31.5">
      <c r="A634" s="477">
        <v>160</v>
      </c>
      <c r="B634" s="479" t="s">
        <v>1416</v>
      </c>
      <c r="C634" s="497" t="s">
        <v>1015</v>
      </c>
      <c r="D634" s="976">
        <v>1094265</v>
      </c>
      <c r="E634" s="1138"/>
      <c r="F634" s="1138">
        <f>+G634</f>
        <v>0</v>
      </c>
      <c r="G634" s="1138">
        <v>0</v>
      </c>
      <c r="H634" s="829"/>
      <c r="I634" s="1085">
        <f>+D634-F634</f>
        <v>1094265</v>
      </c>
      <c r="J634" s="993" t="s">
        <v>1039</v>
      </c>
    </row>
    <row r="635" spans="1:10" ht="31.5">
      <c r="A635" s="1156">
        <v>161</v>
      </c>
      <c r="B635" s="907" t="s">
        <v>1417</v>
      </c>
      <c r="C635" s="497" t="s">
        <v>1019</v>
      </c>
      <c r="D635" s="976">
        <v>360000</v>
      </c>
      <c r="E635" s="1157"/>
      <c r="F635" s="1138">
        <f>+G635</f>
        <v>0</v>
      </c>
      <c r="G635" s="1138">
        <v>0</v>
      </c>
      <c r="H635" s="1158"/>
      <c r="I635" s="1085">
        <f>+D635-F635</f>
        <v>360000</v>
      </c>
      <c r="J635" s="993" t="s">
        <v>1039</v>
      </c>
    </row>
    <row r="636" spans="1:10" ht="31.5">
      <c r="A636" s="1156">
        <v>162</v>
      </c>
      <c r="B636" s="907" t="s">
        <v>1418</v>
      </c>
      <c r="C636" s="497" t="s">
        <v>1019</v>
      </c>
      <c r="D636" s="976">
        <v>2400000</v>
      </c>
      <c r="E636" s="1157"/>
      <c r="F636" s="1138">
        <f>+G636</f>
        <v>0</v>
      </c>
      <c r="G636" s="1138">
        <v>0</v>
      </c>
      <c r="H636" s="1158"/>
      <c r="I636" s="1085">
        <f>+D636-F636</f>
        <v>2400000</v>
      </c>
      <c r="J636" s="993" t="s">
        <v>1039</v>
      </c>
    </row>
    <row r="637" spans="1:10">
      <c r="A637" s="481"/>
      <c r="B637" s="902"/>
      <c r="C637" s="902"/>
      <c r="D637" s="903"/>
      <c r="E637" s="902"/>
      <c r="F637" s="903"/>
      <c r="G637" s="903"/>
      <c r="H637" s="902"/>
      <c r="I637" s="1039"/>
      <c r="J637" s="1040"/>
    </row>
    <row r="638" spans="1:10" ht="31.5">
      <c r="A638" s="1131" t="s">
        <v>1419</v>
      </c>
      <c r="B638" s="904" t="s">
        <v>189</v>
      </c>
      <c r="C638" s="905" t="s">
        <v>1073</v>
      </c>
      <c r="D638" s="991">
        <f>SUM(D639:D640)</f>
        <v>9750000</v>
      </c>
      <c r="E638" s="991"/>
      <c r="F638" s="991">
        <f>SUM(F639:F640)</f>
        <v>0</v>
      </c>
      <c r="G638" s="991">
        <f>SUM(G639:G640)</f>
        <v>0</v>
      </c>
      <c r="H638" s="991">
        <f>SUM(H639:H640)</f>
        <v>0</v>
      </c>
      <c r="I638" s="991">
        <f>SUM(I639:I640)</f>
        <v>9750000</v>
      </c>
      <c r="J638" s="619" t="s">
        <v>963</v>
      </c>
    </row>
    <row r="639" spans="1:10" ht="31.5">
      <c r="A639" s="477">
        <v>163</v>
      </c>
      <c r="B639" s="479" t="s">
        <v>1420</v>
      </c>
      <c r="C639" s="497" t="s">
        <v>1015</v>
      </c>
      <c r="D639" s="976">
        <v>9500000</v>
      </c>
      <c r="E639" s="1138"/>
      <c r="F639" s="1138">
        <f>+G639</f>
        <v>0</v>
      </c>
      <c r="G639" s="1138">
        <v>0</v>
      </c>
      <c r="H639" s="829"/>
      <c r="I639" s="1085">
        <f>+D639-F639</f>
        <v>9500000</v>
      </c>
      <c r="J639" s="993" t="s">
        <v>1039</v>
      </c>
    </row>
    <row r="640" spans="1:10" ht="31.5">
      <c r="A640" s="477">
        <v>164</v>
      </c>
      <c r="B640" s="907" t="s">
        <v>1421</v>
      </c>
      <c r="C640" s="497" t="s">
        <v>1041</v>
      </c>
      <c r="D640" s="976">
        <v>250000</v>
      </c>
      <c r="E640" s="718"/>
      <c r="F640" s="718"/>
      <c r="G640" s="718"/>
      <c r="H640" s="718"/>
      <c r="I640" s="1085">
        <f>+D640-F640</f>
        <v>250000</v>
      </c>
      <c r="J640" s="993" t="s">
        <v>1039</v>
      </c>
    </row>
    <row r="641" spans="1:10">
      <c r="A641" s="481"/>
      <c r="B641" s="902"/>
      <c r="C641" s="902"/>
      <c r="D641" s="903"/>
      <c r="E641" s="902"/>
      <c r="F641" s="903"/>
      <c r="G641" s="903"/>
      <c r="H641" s="902"/>
      <c r="I641" s="1039"/>
      <c r="J641" s="1040"/>
    </row>
    <row r="642" spans="1:10" ht="31.5">
      <c r="A642" s="1131" t="s">
        <v>1422</v>
      </c>
      <c r="B642" s="904" t="s">
        <v>1423</v>
      </c>
      <c r="C642" s="905" t="s">
        <v>1424</v>
      </c>
      <c r="D642" s="991">
        <f>SUM(D643:D645)</f>
        <v>9423000</v>
      </c>
      <c r="E642" s="991">
        <f>SUM(E643:E645)</f>
        <v>0</v>
      </c>
      <c r="F642" s="991">
        <f>SUM(F643:F645)</f>
        <v>0</v>
      </c>
      <c r="G642" s="991">
        <f>SUM(G643:G645)</f>
        <v>0</v>
      </c>
      <c r="H642" s="991"/>
      <c r="I642" s="991">
        <f>SUM(I643:I645)</f>
        <v>9423000</v>
      </c>
      <c r="J642" s="757" t="s">
        <v>957</v>
      </c>
    </row>
    <row r="643" spans="1:10" ht="31.5">
      <c r="A643" s="1110">
        <v>165</v>
      </c>
      <c r="B643" s="886" t="s">
        <v>1425</v>
      </c>
      <c r="C643" s="1007" t="s">
        <v>1015</v>
      </c>
      <c r="D643" s="1008">
        <v>8873000</v>
      </c>
      <c r="E643" s="1164"/>
      <c r="F643" s="1008">
        <f>+G643</f>
        <v>0</v>
      </c>
      <c r="G643" s="1008"/>
      <c r="H643" s="860"/>
      <c r="I643" s="1195">
        <f>+D643-F643</f>
        <v>8873000</v>
      </c>
      <c r="J643" s="1038" t="s">
        <v>914</v>
      </c>
    </row>
    <row r="644" spans="1:10" ht="47.25">
      <c r="A644" s="1165">
        <v>166</v>
      </c>
      <c r="B644" s="1127" t="s">
        <v>1426</v>
      </c>
      <c r="C644" s="969" t="s">
        <v>1019</v>
      </c>
      <c r="D644" s="1009">
        <v>360000</v>
      </c>
      <c r="E644" s="1166"/>
      <c r="F644" s="1009">
        <f>+G644</f>
        <v>0</v>
      </c>
      <c r="G644" s="1009"/>
      <c r="H644" s="868"/>
      <c r="I644" s="1196">
        <f>+D644-F644</f>
        <v>360000</v>
      </c>
      <c r="J644" s="999" t="s">
        <v>914</v>
      </c>
    </row>
    <row r="645" spans="1:10" ht="31.5">
      <c r="A645" s="1156">
        <v>167</v>
      </c>
      <c r="B645" s="907" t="s">
        <v>1427</v>
      </c>
      <c r="C645" s="497" t="s">
        <v>1047</v>
      </c>
      <c r="D645" s="976">
        <v>190000</v>
      </c>
      <c r="E645" s="1157"/>
      <c r="F645" s="976">
        <f>+G645</f>
        <v>0</v>
      </c>
      <c r="G645" s="976"/>
      <c r="H645" s="829"/>
      <c r="I645" s="1085">
        <f>+D645-F645</f>
        <v>190000</v>
      </c>
      <c r="J645" s="1000" t="s">
        <v>914</v>
      </c>
    </row>
    <row r="646" spans="1:10" ht="31.5">
      <c r="A646" s="1131" t="s">
        <v>1428</v>
      </c>
      <c r="B646" s="904" t="s">
        <v>1429</v>
      </c>
      <c r="C646" s="905" t="s">
        <v>1430</v>
      </c>
      <c r="D646" s="991">
        <f>SUM(D647:D648)</f>
        <v>4550000</v>
      </c>
      <c r="E646" s="991"/>
      <c r="F646" s="991">
        <f>SUM(F647:F648)</f>
        <v>0</v>
      </c>
      <c r="G646" s="991">
        <f>SUM(G647:G648)</f>
        <v>0</v>
      </c>
      <c r="H646" s="991"/>
      <c r="I646" s="1197">
        <f>SUM(I647:I648)</f>
        <v>4550000</v>
      </c>
      <c r="J646" s="763" t="s">
        <v>963</v>
      </c>
    </row>
    <row r="647" spans="1:10" ht="31.5">
      <c r="A647" s="477">
        <v>168</v>
      </c>
      <c r="B647" s="479" t="s">
        <v>1431</v>
      </c>
      <c r="C647" s="497" t="s">
        <v>1047</v>
      </c>
      <c r="D647" s="976">
        <v>450000</v>
      </c>
      <c r="E647" s="1138" t="s">
        <v>1432</v>
      </c>
      <c r="F647" s="976">
        <f>+G647</f>
        <v>0</v>
      </c>
      <c r="G647" s="976">
        <v>0</v>
      </c>
      <c r="H647" s="829"/>
      <c r="I647" s="1085">
        <f>+D647-F647</f>
        <v>450000</v>
      </c>
      <c r="J647" s="1198" t="s">
        <v>974</v>
      </c>
    </row>
    <row r="648" spans="1:10" ht="47.25">
      <c r="A648" s="477">
        <v>169</v>
      </c>
      <c r="B648" s="479" t="s">
        <v>1433</v>
      </c>
      <c r="C648" s="497" t="s">
        <v>1071</v>
      </c>
      <c r="D648" s="976">
        <v>4100000</v>
      </c>
      <c r="E648" s="1138" t="s">
        <v>1434</v>
      </c>
      <c r="F648" s="976">
        <f>+G648</f>
        <v>0</v>
      </c>
      <c r="G648" s="976">
        <v>0</v>
      </c>
      <c r="H648" s="829"/>
      <c r="I648" s="1085">
        <f>+D648-F648</f>
        <v>4100000</v>
      </c>
      <c r="J648" s="1198" t="s">
        <v>974</v>
      </c>
    </row>
    <row r="649" spans="1:10" ht="31.5">
      <c r="A649" s="1131" t="s">
        <v>1435</v>
      </c>
      <c r="B649" s="904" t="s">
        <v>156</v>
      </c>
      <c r="C649" s="905" t="s">
        <v>1436</v>
      </c>
      <c r="D649" s="991">
        <f>SUM(D650)</f>
        <v>1440000</v>
      </c>
      <c r="E649" s="991">
        <f>SUM(E650)</f>
        <v>0</v>
      </c>
      <c r="F649" s="991">
        <f>SUM(F650)</f>
        <v>0</v>
      </c>
      <c r="G649" s="991">
        <f>SUM(G650)</f>
        <v>0</v>
      </c>
      <c r="H649" s="991"/>
      <c r="I649" s="991">
        <f>SUM(I650)</f>
        <v>1440000</v>
      </c>
      <c r="J649" s="619" t="s">
        <v>963</v>
      </c>
    </row>
    <row r="650" spans="1:10" ht="31.5">
      <c r="A650" s="477">
        <v>170</v>
      </c>
      <c r="B650" s="479" t="s">
        <v>1437</v>
      </c>
      <c r="C650" s="497" t="s">
        <v>1015</v>
      </c>
      <c r="D650" s="976">
        <v>1440000</v>
      </c>
      <c r="E650" s="1138"/>
      <c r="F650" s="1138">
        <f>+G650</f>
        <v>0</v>
      </c>
      <c r="G650" s="1138">
        <v>0</v>
      </c>
      <c r="H650" s="829"/>
      <c r="I650" s="1085">
        <f>+D650-F650</f>
        <v>1440000</v>
      </c>
      <c r="J650" s="993" t="s">
        <v>1039</v>
      </c>
    </row>
    <row r="651" spans="1:10" ht="31.5">
      <c r="A651" s="1131" t="s">
        <v>1438</v>
      </c>
      <c r="B651" s="904" t="s">
        <v>1439</v>
      </c>
      <c r="C651" s="905" t="s">
        <v>1440</v>
      </c>
      <c r="D651" s="991">
        <f>SUM(D652:D654)</f>
        <v>8819520</v>
      </c>
      <c r="E651" s="991"/>
      <c r="F651" s="991">
        <f>SUM(F652:F654)</f>
        <v>0</v>
      </c>
      <c r="G651" s="991">
        <f>SUM(G652:G654)</f>
        <v>0</v>
      </c>
      <c r="H651" s="991">
        <f>SUM(H652:H654)</f>
        <v>0</v>
      </c>
      <c r="I651" s="991">
        <f>SUM(I652:I654)</f>
        <v>8819520</v>
      </c>
      <c r="J651" s="619" t="s">
        <v>963</v>
      </c>
    </row>
    <row r="652" spans="1:10" ht="47.25">
      <c r="A652" s="477">
        <v>171</v>
      </c>
      <c r="B652" s="479" t="s">
        <v>1441</v>
      </c>
      <c r="C652" s="497" t="s">
        <v>1019</v>
      </c>
      <c r="D652" s="976">
        <v>2009520</v>
      </c>
      <c r="E652" s="1138"/>
      <c r="F652" s="1138">
        <f>+G652</f>
        <v>0</v>
      </c>
      <c r="G652" s="1138">
        <v>0</v>
      </c>
      <c r="H652" s="829"/>
      <c r="I652" s="1085">
        <f>+D652-F652</f>
        <v>2009520</v>
      </c>
      <c r="J652" s="993" t="s">
        <v>1039</v>
      </c>
    </row>
    <row r="653" spans="1:10" ht="47.25">
      <c r="A653" s="477">
        <v>172</v>
      </c>
      <c r="B653" s="479" t="s">
        <v>1442</v>
      </c>
      <c r="C653" s="497" t="s">
        <v>1038</v>
      </c>
      <c r="D653" s="976">
        <v>3665000</v>
      </c>
      <c r="E653" s="1138"/>
      <c r="F653" s="1138">
        <f>+G653</f>
        <v>0</v>
      </c>
      <c r="G653" s="1138">
        <v>0</v>
      </c>
      <c r="H653" s="829"/>
      <c r="I653" s="1085">
        <f>+D653-F653</f>
        <v>3665000</v>
      </c>
      <c r="J653" s="993" t="s">
        <v>1039</v>
      </c>
    </row>
    <row r="654" spans="1:10" ht="47.25">
      <c r="A654" s="477">
        <v>173</v>
      </c>
      <c r="B654" s="479" t="s">
        <v>1443</v>
      </c>
      <c r="C654" s="497" t="s">
        <v>1047</v>
      </c>
      <c r="D654" s="976">
        <v>3145000</v>
      </c>
      <c r="E654" s="1138"/>
      <c r="F654" s="1138">
        <f>+G654</f>
        <v>0</v>
      </c>
      <c r="G654" s="1138">
        <v>0</v>
      </c>
      <c r="H654" s="829"/>
      <c r="I654" s="1085">
        <f>+D654-F654</f>
        <v>3145000</v>
      </c>
      <c r="J654" s="993" t="s">
        <v>1039</v>
      </c>
    </row>
    <row r="655" spans="1:10">
      <c r="A655" s="726" t="s">
        <v>1106</v>
      </c>
      <c r="B655" s="538" t="s">
        <v>1107</v>
      </c>
      <c r="C655" s="1167"/>
      <c r="D655" s="728">
        <f>SUM(D243:D654)/2</f>
        <v>751075926.5</v>
      </c>
      <c r="E655" s="1168">
        <f>+D651+D649+D646+D642+D638+D633+D625+D622+D614+D610+D603+D600+D596+D589+D586+D572+D564+D561+D559+D555+D550+D547+D543+D527+D518+D509+D506+D501+D476+D455+D445+D435+D427+D415+D410+D396+D391+D382+D364+D353+D339+D309+D306+D302+D299+D296+D243+D334+D329</f>
        <v>751075926.5</v>
      </c>
      <c r="F655" s="728">
        <f>SUM(F243:F654)/2</f>
        <v>546389502.5</v>
      </c>
      <c r="G655" s="728">
        <f>SUM(G243:G654)/2</f>
        <v>546389502.5</v>
      </c>
      <c r="H655" s="728"/>
      <c r="I655" s="728">
        <f>SUM(I243:I654)/2</f>
        <v>205006424</v>
      </c>
      <c r="J655" s="765"/>
    </row>
    <row r="656" spans="1:10">
      <c r="A656" s="729"/>
      <c r="B656" s="1169"/>
      <c r="C656" s="1169"/>
      <c r="D656" s="1170"/>
      <c r="E656" s="1171"/>
      <c r="F656" s="1170"/>
      <c r="G656" s="1170"/>
      <c r="H656" s="1172"/>
      <c r="I656" s="1199"/>
      <c r="J656" s="1200"/>
    </row>
    <row r="657" spans="1:10" ht="31.5">
      <c r="A657" s="734" t="s">
        <v>1444</v>
      </c>
      <c r="B657" s="735"/>
      <c r="C657" s="905" t="s">
        <v>1108</v>
      </c>
      <c r="D657" s="736"/>
      <c r="E657" s="727"/>
      <c r="F657" s="736"/>
      <c r="G657" s="738"/>
      <c r="H657" s="738"/>
      <c r="I657" s="768"/>
      <c r="J657" s="769"/>
    </row>
    <row r="658" spans="1:10">
      <c r="A658" s="1030">
        <v>1</v>
      </c>
      <c r="B658" s="2014" t="s">
        <v>1445</v>
      </c>
      <c r="C658" s="824"/>
      <c r="D658" s="972">
        <v>25020000</v>
      </c>
      <c r="E658" s="898" t="s">
        <v>1446</v>
      </c>
      <c r="F658" s="898">
        <f>+G658</f>
        <v>25020000</v>
      </c>
      <c r="G658" s="972">
        <v>25020000</v>
      </c>
      <c r="H658" s="1502" t="s">
        <v>1112</v>
      </c>
      <c r="I658" s="1022">
        <f>+D658-F658</f>
        <v>0</v>
      </c>
      <c r="J658" s="1201" t="s">
        <v>914</v>
      </c>
    </row>
    <row r="659" spans="1:10" ht="31.5">
      <c r="A659" s="1031"/>
      <c r="B659" s="2015"/>
      <c r="C659" s="831"/>
      <c r="D659" s="1016">
        <v>24907500</v>
      </c>
      <c r="E659" s="874" t="s">
        <v>1447</v>
      </c>
      <c r="F659" s="1016">
        <f>+G659</f>
        <v>24907500</v>
      </c>
      <c r="G659" s="1016">
        <v>24907500</v>
      </c>
      <c r="H659" s="1502" t="s">
        <v>1112</v>
      </c>
      <c r="I659" s="1022">
        <f>+D659-F659</f>
        <v>0</v>
      </c>
      <c r="J659" s="1201" t="s">
        <v>914</v>
      </c>
    </row>
    <row r="660" spans="1:10">
      <c r="A660" s="1031"/>
      <c r="B660" s="2015"/>
      <c r="C660" s="831"/>
      <c r="D660" s="1022">
        <v>24797500</v>
      </c>
      <c r="E660" s="824" t="s">
        <v>100</v>
      </c>
      <c r="F660" s="827">
        <f>SUM(G660:G661)</f>
        <v>24797500</v>
      </c>
      <c r="G660" s="972">
        <v>24787500</v>
      </c>
      <c r="H660" s="1502" t="s">
        <v>1112</v>
      </c>
      <c r="I660" s="1022">
        <f>+D660-F660</f>
        <v>0</v>
      </c>
      <c r="J660" s="1201" t="s">
        <v>914</v>
      </c>
    </row>
    <row r="661" spans="1:10">
      <c r="A661" s="1031"/>
      <c r="B661" s="831"/>
      <c r="C661" s="831"/>
      <c r="D661" s="1016"/>
      <c r="E661" s="874"/>
      <c r="F661" s="870"/>
      <c r="G661" s="972">
        <v>10000</v>
      </c>
      <c r="H661" s="1502" t="s">
        <v>1448</v>
      </c>
      <c r="I661" s="1023"/>
      <c r="J661" s="1078"/>
    </row>
    <row r="662" spans="1:10">
      <c r="A662" s="1031"/>
      <c r="B662" s="831"/>
      <c r="C662" s="831"/>
      <c r="D662" s="972">
        <v>22142500</v>
      </c>
      <c r="E662" s="898" t="s">
        <v>1449</v>
      </c>
      <c r="F662" s="485">
        <f>+G662</f>
        <v>22142500</v>
      </c>
      <c r="G662" s="972">
        <v>22142500</v>
      </c>
      <c r="H662" s="1502" t="s">
        <v>1450</v>
      </c>
      <c r="I662" s="1022">
        <f>+D662-F662</f>
        <v>0</v>
      </c>
      <c r="J662" s="1201" t="s">
        <v>914</v>
      </c>
    </row>
    <row r="663" spans="1:10">
      <c r="A663" s="1031"/>
      <c r="B663" s="831"/>
      <c r="C663" s="831"/>
      <c r="D663" s="1022">
        <v>20081500</v>
      </c>
      <c r="E663" s="2014" t="s">
        <v>1451</v>
      </c>
      <c r="F663" s="827">
        <f>SUM(G663:G664)</f>
        <v>20081500</v>
      </c>
      <c r="G663" s="1016">
        <v>19931500</v>
      </c>
      <c r="H663" s="1502" t="s">
        <v>1112</v>
      </c>
      <c r="I663" s="1022">
        <f>+D663-F663</f>
        <v>0</v>
      </c>
      <c r="J663" s="1201" t="s">
        <v>914</v>
      </c>
    </row>
    <row r="664" spans="1:10">
      <c r="A664" s="1031"/>
      <c r="B664" s="831"/>
      <c r="C664" s="831"/>
      <c r="D664" s="1016"/>
      <c r="E664" s="2016"/>
      <c r="F664" s="870"/>
      <c r="G664" s="972">
        <v>150000</v>
      </c>
      <c r="H664" s="1502" t="s">
        <v>1452</v>
      </c>
      <c r="I664" s="1016">
        <f>+D664-F664</f>
        <v>0</v>
      </c>
      <c r="J664" s="1202"/>
    </row>
    <row r="665" spans="1:10">
      <c r="A665" s="1031"/>
      <c r="B665" s="831"/>
      <c r="C665" s="831"/>
      <c r="D665" s="1016">
        <v>19342500</v>
      </c>
      <c r="E665" s="874" t="s">
        <v>44</v>
      </c>
      <c r="F665" s="485">
        <f>+G665</f>
        <v>19342500</v>
      </c>
      <c r="G665" s="1016">
        <v>19342500</v>
      </c>
      <c r="H665" s="1502" t="s">
        <v>1112</v>
      </c>
      <c r="I665" s="1022">
        <f>+D665-F665</f>
        <v>0</v>
      </c>
      <c r="J665" s="1201" t="s">
        <v>914</v>
      </c>
    </row>
    <row r="666" spans="1:10">
      <c r="A666" s="1031"/>
      <c r="B666" s="831"/>
      <c r="C666" s="831"/>
      <c r="D666" s="1022">
        <v>17857500</v>
      </c>
      <c r="E666" s="824" t="s">
        <v>1453</v>
      </c>
      <c r="F666" s="824">
        <f>SUM(G666:G670)</f>
        <v>17857500</v>
      </c>
      <c r="G666" s="972">
        <v>3810000</v>
      </c>
      <c r="H666" s="1502" t="s">
        <v>1112</v>
      </c>
      <c r="I666" s="1022">
        <f>+D666-F666</f>
        <v>0</v>
      </c>
      <c r="J666" s="1201" t="s">
        <v>914</v>
      </c>
    </row>
    <row r="667" spans="1:10">
      <c r="A667" s="1031"/>
      <c r="B667" s="831"/>
      <c r="C667" s="831"/>
      <c r="D667" s="1023"/>
      <c r="E667" s="831"/>
      <c r="F667" s="831"/>
      <c r="G667" s="972">
        <v>3897500</v>
      </c>
      <c r="H667" s="1502" t="s">
        <v>1112</v>
      </c>
      <c r="I667" s="1023"/>
      <c r="J667" s="1203"/>
    </row>
    <row r="668" spans="1:10">
      <c r="A668" s="1031"/>
      <c r="B668" s="831"/>
      <c r="C668" s="831"/>
      <c r="D668" s="1023"/>
      <c r="E668" s="831"/>
      <c r="F668" s="831"/>
      <c r="G668" s="972">
        <v>3890000</v>
      </c>
      <c r="H668" s="1502" t="s">
        <v>1112</v>
      </c>
      <c r="I668" s="1023"/>
      <c r="J668" s="1203"/>
    </row>
    <row r="669" spans="1:10">
      <c r="A669" s="1031"/>
      <c r="B669" s="831"/>
      <c r="C669" s="831"/>
      <c r="D669" s="1023"/>
      <c r="E669" s="831"/>
      <c r="F669" s="831"/>
      <c r="G669" s="972">
        <v>3130000</v>
      </c>
      <c r="H669" s="1502" t="s">
        <v>1112</v>
      </c>
      <c r="I669" s="1023"/>
      <c r="J669" s="1203"/>
    </row>
    <row r="670" spans="1:10">
      <c r="A670" s="1031"/>
      <c r="B670" s="831"/>
      <c r="C670" s="831"/>
      <c r="D670" s="1016"/>
      <c r="E670" s="874"/>
      <c r="F670" s="874"/>
      <c r="G670" s="972">
        <v>3130000</v>
      </c>
      <c r="H670" s="1502" t="s">
        <v>1112</v>
      </c>
      <c r="I670" s="1016"/>
      <c r="J670" s="1054"/>
    </row>
    <row r="671" spans="1:10">
      <c r="A671" s="1031"/>
      <c r="B671" s="831"/>
      <c r="C671" s="831"/>
      <c r="D671" s="972">
        <v>12895000</v>
      </c>
      <c r="E671" s="898" t="s">
        <v>1454</v>
      </c>
      <c r="F671" s="485">
        <f>+G671</f>
        <v>12895000</v>
      </c>
      <c r="G671" s="972">
        <v>12895000</v>
      </c>
      <c r="H671" s="1502" t="s">
        <v>1112</v>
      </c>
      <c r="I671" s="1022">
        <f>+D671-F671</f>
        <v>0</v>
      </c>
      <c r="J671" s="1201" t="s">
        <v>914</v>
      </c>
    </row>
    <row r="672" spans="1:10">
      <c r="A672" s="1031"/>
      <c r="B672" s="831"/>
      <c r="C672" s="831"/>
      <c r="D672" s="972">
        <v>11737500</v>
      </c>
      <c r="E672" s="898" t="s">
        <v>1142</v>
      </c>
      <c r="F672" s="485">
        <f>+G672</f>
        <v>11737500</v>
      </c>
      <c r="G672" s="972">
        <v>11737500</v>
      </c>
      <c r="H672" s="1502" t="s">
        <v>1455</v>
      </c>
      <c r="I672" s="1022">
        <f>+D672-F672</f>
        <v>0</v>
      </c>
      <c r="J672" s="1201" t="s">
        <v>914</v>
      </c>
    </row>
    <row r="673" spans="1:10">
      <c r="A673" s="1063"/>
      <c r="B673" s="874"/>
      <c r="C673" s="874"/>
      <c r="D673" s="972">
        <v>7925000</v>
      </c>
      <c r="E673" s="898" t="s">
        <v>1456</v>
      </c>
      <c r="F673" s="485">
        <f>+G673</f>
        <v>7925000</v>
      </c>
      <c r="G673" s="972">
        <v>7925000</v>
      </c>
      <c r="H673" s="1502" t="s">
        <v>1112</v>
      </c>
      <c r="I673" s="1022">
        <f>+D673-F673</f>
        <v>0</v>
      </c>
      <c r="J673" s="1201" t="s">
        <v>914</v>
      </c>
    </row>
    <row r="674" spans="1:10" ht="47.25">
      <c r="A674" s="1063">
        <v>2</v>
      </c>
      <c r="B674" s="1174" t="s">
        <v>1457</v>
      </c>
      <c r="C674" s="874"/>
      <c r="D674" s="972">
        <v>49414757</v>
      </c>
      <c r="E674" s="898" t="s">
        <v>1458</v>
      </c>
      <c r="F674" s="898">
        <f>+G674</f>
        <v>0</v>
      </c>
      <c r="G674" s="972">
        <v>0</v>
      </c>
      <c r="H674" s="1173"/>
      <c r="I674" s="1022">
        <f>+D674-F674</f>
        <v>49414757</v>
      </c>
      <c r="J674" s="601" t="s">
        <v>974</v>
      </c>
    </row>
    <row r="675" spans="1:10" ht="31.5">
      <c r="A675" s="1030">
        <v>3</v>
      </c>
      <c r="B675" s="2014" t="s">
        <v>1459</v>
      </c>
      <c r="C675" s="824"/>
      <c r="D675" s="1022">
        <v>24684000</v>
      </c>
      <c r="E675" s="824" t="s">
        <v>177</v>
      </c>
      <c r="F675" s="824">
        <f>SUM(G675:G678)</f>
        <v>9154000</v>
      </c>
      <c r="G675" s="972">
        <v>1343000</v>
      </c>
      <c r="H675" s="1502" t="s">
        <v>1460</v>
      </c>
      <c r="I675" s="1204">
        <f>+D675-F675</f>
        <v>15530000</v>
      </c>
      <c r="J675" s="1161" t="s">
        <v>1039</v>
      </c>
    </row>
    <row r="676" spans="1:10">
      <c r="A676" s="1031"/>
      <c r="B676" s="2015"/>
      <c r="C676" s="831"/>
      <c r="D676" s="1023"/>
      <c r="E676" s="831"/>
      <c r="F676" s="1023"/>
      <c r="G676" s="972">
        <v>1343000</v>
      </c>
      <c r="H676" s="1502" t="s">
        <v>1460</v>
      </c>
      <c r="I676" s="831"/>
      <c r="J676" s="937"/>
    </row>
    <row r="677" spans="1:10">
      <c r="A677" s="1031"/>
      <c r="B677" s="2015"/>
      <c r="C677" s="831"/>
      <c r="D677" s="1023"/>
      <c r="E677" s="831"/>
      <c r="F677" s="1023"/>
      <c r="G677" s="972">
        <v>308000</v>
      </c>
      <c r="H677" s="1502" t="s">
        <v>1461</v>
      </c>
      <c r="I677" s="831"/>
      <c r="J677" s="937"/>
    </row>
    <row r="678" spans="1:10">
      <c r="A678" s="1175"/>
      <c r="B678" s="1176"/>
      <c r="C678" s="1176"/>
      <c r="D678" s="1010"/>
      <c r="E678" s="1176"/>
      <c r="F678" s="1176"/>
      <c r="G678" s="1137">
        <v>6160000</v>
      </c>
      <c r="H678" s="1503" t="s">
        <v>1462</v>
      </c>
      <c r="I678" s="1205"/>
      <c r="J678" s="938"/>
    </row>
    <row r="679" spans="1:10">
      <c r="A679" s="1177"/>
      <c r="B679" s="1178"/>
      <c r="C679" s="1178"/>
      <c r="D679" s="1179"/>
      <c r="E679" s="1178"/>
      <c r="F679" s="1179"/>
      <c r="G679" s="1179"/>
      <c r="H679" s="1180"/>
      <c r="I679" s="1179"/>
      <c r="J679" s="1206"/>
    </row>
    <row r="680" spans="1:10">
      <c r="A680" s="1181" t="s">
        <v>23</v>
      </c>
      <c r="B680" s="538" t="s">
        <v>1149</v>
      </c>
      <c r="C680" s="727"/>
      <c r="D680" s="728">
        <f>SUM(D658:D678)</f>
        <v>260805257</v>
      </c>
      <c r="E680" s="728"/>
      <c r="F680" s="728">
        <f>SUM(F658:F678)</f>
        <v>195860500</v>
      </c>
      <c r="G680" s="728">
        <f>SUM(G658:G678)</f>
        <v>195860500</v>
      </c>
      <c r="H680" s="728"/>
      <c r="I680" s="728">
        <f>SUM(I658:I678)</f>
        <v>64944757</v>
      </c>
      <c r="J680" s="765"/>
    </row>
    <row r="681" spans="1:10">
      <c r="A681" s="1182"/>
      <c r="B681" s="1183"/>
      <c r="C681" s="1183"/>
      <c r="D681" s="1184"/>
      <c r="E681" s="1183"/>
      <c r="F681" s="1184"/>
      <c r="G681" s="1184"/>
      <c r="H681" s="1185"/>
      <c r="I681" s="1184"/>
      <c r="J681" s="1207">
        <f>I680+I655</f>
        <v>269951181</v>
      </c>
    </row>
    <row r="682" spans="1:10" ht="31.5">
      <c r="A682" s="1186" t="s">
        <v>938</v>
      </c>
      <c r="B682" s="1187" t="s">
        <v>939</v>
      </c>
      <c r="C682" s="1188"/>
      <c r="D682" s="1189">
        <f>+D655+D680</f>
        <v>1011881183.5</v>
      </c>
      <c r="E682" s="1189"/>
      <c r="F682" s="1189">
        <f>+F655+F680</f>
        <v>742250002.5</v>
      </c>
      <c r="G682" s="1189">
        <f>+G655+G680</f>
        <v>742250002.5</v>
      </c>
      <c r="H682" s="1189">
        <f>+H655+H680</f>
        <v>0</v>
      </c>
      <c r="I682" s="1189">
        <f>+I655+I680</f>
        <v>269951181</v>
      </c>
      <c r="J682" s="1208"/>
    </row>
    <row r="683" spans="1:10">
      <c r="A683" s="1182"/>
      <c r="B683" s="1183"/>
      <c r="C683" s="1183"/>
      <c r="D683" s="1184"/>
      <c r="E683" s="1183"/>
      <c r="F683" s="1184"/>
      <c r="G683" s="1184"/>
      <c r="H683" s="1185"/>
      <c r="I683" s="1184"/>
      <c r="J683" s="1209"/>
    </row>
    <row r="684" spans="1:10">
      <c r="A684" s="555" t="s">
        <v>940</v>
      </c>
      <c r="B684" s="593" t="s">
        <v>1150</v>
      </c>
      <c r="C684" s="1190"/>
      <c r="D684" s="1191">
        <f>SUM(D685:D687)</f>
        <v>13545931403.469999</v>
      </c>
      <c r="E684" s="1191"/>
      <c r="F684" s="1191">
        <f>SUM(F685:F687)</f>
        <v>10450764531.780001</v>
      </c>
      <c r="G684" s="1191">
        <f>SUM(G685:G687)</f>
        <v>10450764531.780001</v>
      </c>
      <c r="H684" s="1191">
        <f>SUM(H685:H687)</f>
        <v>0</v>
      </c>
      <c r="I684" s="1191">
        <f>SUM(I685:I687)+584482.55</f>
        <v>3095751354.2399998</v>
      </c>
      <c r="J684" s="844"/>
    </row>
    <row r="685" spans="1:10">
      <c r="A685" s="1156"/>
      <c r="B685" s="591" t="s">
        <v>1151</v>
      </c>
      <c r="C685" s="792"/>
      <c r="D685" s="469">
        <f>10754990223.96+313780000</f>
        <v>11068770223.959999</v>
      </c>
      <c r="E685" s="793">
        <f>E682</f>
        <v>0</v>
      </c>
      <c r="F685" s="793">
        <f>+G685</f>
        <v>8875292049.5200005</v>
      </c>
      <c r="G685" s="793">
        <f>8561002049.52+314290000</f>
        <v>8875292049.5200005</v>
      </c>
      <c r="H685" s="793"/>
      <c r="I685" s="793">
        <f>+D685-F685</f>
        <v>2193478174.4400001</v>
      </c>
      <c r="J685" s="1210"/>
    </row>
    <row r="686" spans="1:10">
      <c r="A686" s="1025"/>
      <c r="B686" s="591" t="s">
        <v>1152</v>
      </c>
      <c r="C686" s="1192"/>
      <c r="D686" s="469">
        <f>1311520253.79+1154995425.72</f>
        <v>2466515679.5100002</v>
      </c>
      <c r="E686" s="793">
        <f>E684</f>
        <v>0</v>
      </c>
      <c r="F686" s="793">
        <f>+G686</f>
        <v>1564826982.26</v>
      </c>
      <c r="G686" s="793">
        <f>1029497648.99+531057333.27+4272000</f>
        <v>1564826982.26</v>
      </c>
      <c r="H686" s="793"/>
      <c r="I686" s="793">
        <f>+D686-F686</f>
        <v>901688697.25</v>
      </c>
      <c r="J686" s="772"/>
    </row>
    <row r="687" spans="1:10">
      <c r="A687" s="1193"/>
      <c r="B687" s="591" t="s">
        <v>944</v>
      </c>
      <c r="C687" s="792"/>
      <c r="D687" s="469">
        <v>10645500</v>
      </c>
      <c r="E687" s="793">
        <f>E685</f>
        <v>0</v>
      </c>
      <c r="F687" s="793">
        <f>+G687</f>
        <v>10645500</v>
      </c>
      <c r="G687" s="793">
        <v>10645500</v>
      </c>
      <c r="H687" s="793"/>
      <c r="I687" s="793">
        <f>+D687-F687</f>
        <v>0</v>
      </c>
      <c r="J687" s="1211"/>
    </row>
    <row r="688" spans="1:10">
      <c r="A688" s="1182"/>
      <c r="B688" s="1183"/>
      <c r="C688" s="1183"/>
      <c r="D688" s="1184"/>
      <c r="E688" s="1183"/>
      <c r="F688" s="1184"/>
      <c r="G688" s="1184"/>
      <c r="H688" s="1185"/>
      <c r="I688" s="1184"/>
      <c r="J688" s="1209"/>
    </row>
    <row r="689" spans="1:10" ht="31.5">
      <c r="A689" s="555" t="s">
        <v>945</v>
      </c>
      <c r="B689" s="593" t="s">
        <v>1153</v>
      </c>
      <c r="C689" s="1190"/>
      <c r="D689" s="1191">
        <f>+D682+D684</f>
        <v>14557812586.969999</v>
      </c>
      <c r="E689" s="1191"/>
      <c r="F689" s="1191">
        <f>+G689</f>
        <v>11193014534.280001</v>
      </c>
      <c r="G689" s="1191">
        <f>+G682+G684</f>
        <v>11193014534.280001</v>
      </c>
      <c r="H689" s="1191">
        <f>+H682+H684</f>
        <v>0</v>
      </c>
      <c r="I689" s="1191">
        <f>+I682+I684</f>
        <v>3365702535.2399998</v>
      </c>
      <c r="J689" s="844"/>
    </row>
    <row r="690" spans="1:10">
      <c r="A690" s="519"/>
      <c r="B690" s="520"/>
      <c r="C690" s="520"/>
      <c r="D690" s="521"/>
      <c r="E690" s="1194"/>
      <c r="F690" s="521"/>
      <c r="G690" s="521"/>
      <c r="H690" s="523"/>
      <c r="I690" s="524"/>
      <c r="J690" s="1212"/>
    </row>
    <row r="691" spans="1:10" ht="69">
      <c r="A691" s="811"/>
      <c r="B691" s="812" t="s">
        <v>1463</v>
      </c>
      <c r="C691" s="813"/>
      <c r="D691" s="814"/>
      <c r="E691" s="815"/>
      <c r="F691" s="815">
        <f>197421205.8+259239988+904482.55</f>
        <v>457565676.35000002</v>
      </c>
      <c r="G691" s="814"/>
      <c r="H691" s="814"/>
      <c r="I691" s="847">
        <f>+I689-F691</f>
        <v>2908136858.8899999</v>
      </c>
      <c r="J691" s="848"/>
    </row>
    <row r="693" spans="1:10" ht="33" customHeight="1">
      <c r="I693" s="1213"/>
    </row>
  </sheetData>
  <mergeCells count="92">
    <mergeCell ref="J179:J180"/>
    <mergeCell ref="J181:J182"/>
    <mergeCell ref="J240:J241"/>
    <mergeCell ref="F6:G7"/>
    <mergeCell ref="G35:H36"/>
    <mergeCell ref="G240:H241"/>
    <mergeCell ref="J35:J36"/>
    <mergeCell ref="E663:E664"/>
    <mergeCell ref="F35:F36"/>
    <mergeCell ref="F240:F241"/>
    <mergeCell ref="H6:H7"/>
    <mergeCell ref="I6:I7"/>
    <mergeCell ref="I35:I36"/>
    <mergeCell ref="I240:I241"/>
    <mergeCell ref="C240:C241"/>
    <mergeCell ref="D6:D7"/>
    <mergeCell ref="D35:D36"/>
    <mergeCell ref="D240:D241"/>
    <mergeCell ref="E6:E7"/>
    <mergeCell ref="E35:E36"/>
    <mergeCell ref="E240:E241"/>
    <mergeCell ref="A237:J237"/>
    <mergeCell ref="A238:J238"/>
    <mergeCell ref="A6:A7"/>
    <mergeCell ref="A35:A36"/>
    <mergeCell ref="A179:A180"/>
    <mergeCell ref="A181:A202"/>
    <mergeCell ref="A203:A210"/>
    <mergeCell ref="A211:A212"/>
    <mergeCell ref="A217:A218"/>
    <mergeCell ref="B578:B580"/>
    <mergeCell ref="B604:B606"/>
    <mergeCell ref="B615:B616"/>
    <mergeCell ref="B658:B660"/>
    <mergeCell ref="B675:B677"/>
    <mergeCell ref="B531:B532"/>
    <mergeCell ref="B534:B535"/>
    <mergeCell ref="B540:B541"/>
    <mergeCell ref="B551:B553"/>
    <mergeCell ref="B573:B574"/>
    <mergeCell ref="B471:B472"/>
    <mergeCell ref="B477:B478"/>
    <mergeCell ref="B480:B481"/>
    <mergeCell ref="B502:B504"/>
    <mergeCell ref="B528:B529"/>
    <mergeCell ref="B432:B433"/>
    <mergeCell ref="B438:B439"/>
    <mergeCell ref="B446:B447"/>
    <mergeCell ref="B449:B450"/>
    <mergeCell ref="B467:B468"/>
    <mergeCell ref="B367:B368"/>
    <mergeCell ref="B372:B373"/>
    <mergeCell ref="B407:B408"/>
    <mergeCell ref="B416:B417"/>
    <mergeCell ref="B428:B429"/>
    <mergeCell ref="B279:B280"/>
    <mergeCell ref="B286:B287"/>
    <mergeCell ref="B291:B294"/>
    <mergeCell ref="B303:B304"/>
    <mergeCell ref="B335:B336"/>
    <mergeCell ref="B240:B241"/>
    <mergeCell ref="B244:B245"/>
    <mergeCell ref="B264:B265"/>
    <mergeCell ref="B266:B267"/>
    <mergeCell ref="B268:B269"/>
    <mergeCell ref="A240:A241"/>
    <mergeCell ref="B6:B7"/>
    <mergeCell ref="B35:B36"/>
    <mergeCell ref="B39:B40"/>
    <mergeCell ref="B56:B57"/>
    <mergeCell ref="B59:B60"/>
    <mergeCell ref="B72:B73"/>
    <mergeCell ref="B88:B89"/>
    <mergeCell ref="B93:B94"/>
    <mergeCell ref="B107:B108"/>
    <mergeCell ref="B109:B110"/>
    <mergeCell ref="B114:B115"/>
    <mergeCell ref="B120:B121"/>
    <mergeCell ref="B173:B174"/>
    <mergeCell ref="B177:B178"/>
    <mergeCell ref="B179:B180"/>
    <mergeCell ref="B181:B183"/>
    <mergeCell ref="B203:B210"/>
    <mergeCell ref="B211:B212"/>
    <mergeCell ref="B217:B218"/>
    <mergeCell ref="C6:C7"/>
    <mergeCell ref="C35:C36"/>
    <mergeCell ref="A2:I2"/>
    <mergeCell ref="A3:I3"/>
    <mergeCell ref="A4:I4"/>
    <mergeCell ref="A32:J32"/>
    <mergeCell ref="A33:J33"/>
  </mergeCells>
  <pageMargins left="1.11944444444444" right="0.11944444444444401" top="0.469444444444444" bottom="0.50972222222222197" header="0.30972222222222201" footer="0.30972222222222201"/>
  <pageSetup paperSize="9" scale="5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00B0F0"/>
  </sheetPr>
  <dimension ref="B3:N267"/>
  <sheetViews>
    <sheetView workbookViewId="0">
      <selection activeCell="J14" sqref="J14"/>
    </sheetView>
  </sheetViews>
  <sheetFormatPr defaultColWidth="9.140625" defaultRowHeight="11.25"/>
  <cols>
    <col min="1" max="1" width="1.7109375" style="1541" customWidth="1"/>
    <col min="2" max="2" width="3.140625" style="1541" bestFit="1" customWidth="1"/>
    <col min="3" max="3" width="33.28515625" style="1541" customWidth="1"/>
    <col min="4" max="4" width="12.85546875" style="1541" customWidth="1"/>
    <col min="5" max="5" width="15.28515625" style="1541" customWidth="1"/>
    <col min="6" max="6" width="14.7109375" style="1541" bestFit="1" customWidth="1"/>
    <col min="7" max="7" width="14" style="1541" bestFit="1" customWidth="1"/>
    <col min="8" max="8" width="14.5703125" style="1541" customWidth="1"/>
    <col min="9" max="9" width="13" style="1541" bestFit="1" customWidth="1"/>
    <col min="10" max="10" width="12.28515625" style="1541" customWidth="1"/>
    <col min="11" max="11" width="13.5703125" style="1541" customWidth="1"/>
    <col min="12" max="12" width="11.85546875" style="1541" customWidth="1"/>
    <col min="13" max="13" width="12.28515625" style="1541" customWidth="1"/>
    <col min="14" max="14" width="0.42578125" style="1541" customWidth="1"/>
    <col min="15" max="16384" width="9.140625" style="1541"/>
  </cols>
  <sheetData>
    <row r="3" spans="2:14" ht="12.75">
      <c r="B3" s="2058" t="s">
        <v>1464</v>
      </c>
      <c r="C3" s="2058"/>
      <c r="D3" s="2058"/>
      <c r="E3" s="2058"/>
      <c r="F3" s="2058"/>
      <c r="G3" s="2058"/>
      <c r="H3" s="2058"/>
      <c r="I3" s="2058"/>
      <c r="J3" s="2058"/>
      <c r="K3" s="2058"/>
      <c r="L3" s="2058"/>
      <c r="M3" s="2058"/>
      <c r="N3" s="1540"/>
    </row>
    <row r="4" spans="2:14" ht="12.75">
      <c r="B4" s="2058" t="s">
        <v>1465</v>
      </c>
      <c r="C4" s="2058"/>
      <c r="D4" s="2058"/>
      <c r="E4" s="2058"/>
      <c r="F4" s="2058"/>
      <c r="G4" s="2058"/>
      <c r="H4" s="2058"/>
      <c r="I4" s="2058"/>
      <c r="J4" s="2058"/>
      <c r="K4" s="2058"/>
      <c r="L4" s="2058"/>
      <c r="M4" s="2058"/>
      <c r="N4" s="1540"/>
    </row>
    <row r="5" spans="2:14" ht="12.75">
      <c r="B5" s="1542"/>
      <c r="C5" s="1543"/>
      <c r="D5" s="1543"/>
      <c r="E5" s="1543"/>
      <c r="F5" s="1543"/>
      <c r="G5" s="1543"/>
      <c r="H5" s="1543"/>
      <c r="I5" s="1543"/>
      <c r="J5" s="1543"/>
      <c r="K5" s="1543"/>
      <c r="L5" s="1543"/>
      <c r="M5" s="459" t="s">
        <v>3</v>
      </c>
      <c r="N5" s="1540"/>
    </row>
    <row r="6" spans="2:14" ht="12.75">
      <c r="B6" s="2063" t="s">
        <v>1466</v>
      </c>
      <c r="C6" s="2063" t="s">
        <v>114</v>
      </c>
      <c r="D6" s="2064" t="s">
        <v>1467</v>
      </c>
      <c r="E6" s="2065"/>
      <c r="F6" s="2065"/>
      <c r="G6" s="2065"/>
      <c r="H6" s="2066"/>
      <c r="I6" s="2064" t="s">
        <v>1468</v>
      </c>
      <c r="J6" s="2065"/>
      <c r="K6" s="2065"/>
      <c r="L6" s="2065"/>
      <c r="M6" s="2066"/>
      <c r="N6" s="1540"/>
    </row>
    <row r="7" spans="2:14" ht="33.75">
      <c r="B7" s="2063"/>
      <c r="C7" s="2063"/>
      <c r="D7" s="1876" t="s">
        <v>1469</v>
      </c>
      <c r="E7" s="1545" t="s">
        <v>1470</v>
      </c>
      <c r="F7" s="1545" t="s">
        <v>1471</v>
      </c>
      <c r="G7" s="1876" t="s">
        <v>1472</v>
      </c>
      <c r="H7" s="1879" t="s">
        <v>9</v>
      </c>
      <c r="I7" s="1545" t="s">
        <v>1469</v>
      </c>
      <c r="J7" s="1545" t="s">
        <v>1470</v>
      </c>
      <c r="K7" s="1545" t="s">
        <v>1471</v>
      </c>
      <c r="L7" s="1545" t="s">
        <v>1472</v>
      </c>
      <c r="M7" s="2067" t="s">
        <v>9</v>
      </c>
      <c r="N7" s="1540"/>
    </row>
    <row r="8" spans="2:14" ht="22.5">
      <c r="B8" s="2063"/>
      <c r="C8" s="2063"/>
      <c r="D8" s="1876" t="s">
        <v>1473</v>
      </c>
      <c r="E8" s="1876" t="s">
        <v>1474</v>
      </c>
      <c r="F8" s="1876" t="s">
        <v>1475</v>
      </c>
      <c r="G8" s="1545" t="s">
        <v>1476</v>
      </c>
      <c r="H8" s="1878"/>
      <c r="I8" s="1546">
        <v>5.0000000000000001E-3</v>
      </c>
      <c r="J8" s="1547">
        <v>0.1</v>
      </c>
      <c r="K8" s="1547">
        <v>0.5</v>
      </c>
      <c r="L8" s="1547">
        <v>1</v>
      </c>
      <c r="M8" s="2068"/>
      <c r="N8" s="1540"/>
    </row>
    <row r="9" spans="2:14" ht="12.75">
      <c r="B9" s="1548"/>
      <c r="C9" s="1549"/>
      <c r="D9" s="1550"/>
      <c r="E9" s="1550"/>
      <c r="F9" s="1550"/>
      <c r="G9" s="1550"/>
      <c r="H9" s="1551"/>
      <c r="I9" s="1550"/>
      <c r="J9" s="1550"/>
      <c r="K9" s="1550"/>
      <c r="L9" s="1550"/>
      <c r="M9" s="1551"/>
      <c r="N9" s="1540"/>
    </row>
    <row r="10" spans="2:14">
      <c r="B10" s="1552">
        <v>1</v>
      </c>
      <c r="C10" s="1553" t="s">
        <v>1477</v>
      </c>
      <c r="D10" s="1554">
        <v>41658500</v>
      </c>
      <c r="E10" s="1554">
        <v>13965500</v>
      </c>
      <c r="F10" s="1554">
        <v>958000</v>
      </c>
      <c r="G10" s="1554">
        <v>0</v>
      </c>
      <c r="H10" s="1554">
        <v>56582000</v>
      </c>
      <c r="I10" s="1554">
        <v>208292.5</v>
      </c>
      <c r="J10" s="1554">
        <v>1396550</v>
      </c>
      <c r="K10" s="1554">
        <v>479000</v>
      </c>
      <c r="L10" s="1554">
        <v>0</v>
      </c>
      <c r="M10" s="1554">
        <v>2083842.5</v>
      </c>
      <c r="N10" s="1555">
        <f>M10</f>
        <v>2083842.5</v>
      </c>
    </row>
    <row r="11" spans="2:14" ht="12.75">
      <c r="B11" s="1548"/>
      <c r="C11" s="1549" t="s">
        <v>777</v>
      </c>
      <c r="D11" s="1556">
        <v>0</v>
      </c>
      <c r="E11" s="1556"/>
      <c r="F11" s="1556">
        <v>958000</v>
      </c>
      <c r="G11" s="1556">
        <v>0</v>
      </c>
      <c r="H11" s="1556">
        <v>958000</v>
      </c>
      <c r="I11" s="1550">
        <v>0</v>
      </c>
      <c r="J11" s="1550">
        <v>0</v>
      </c>
      <c r="K11" s="1550">
        <v>479000</v>
      </c>
      <c r="L11" s="1550">
        <v>0</v>
      </c>
      <c r="M11" s="1551">
        <v>479000</v>
      </c>
      <c r="N11" s="1540"/>
    </row>
    <row r="12" spans="2:14" ht="12.75">
      <c r="B12" s="1548"/>
      <c r="C12" s="1549" t="s">
        <v>778</v>
      </c>
      <c r="D12" s="1556">
        <v>0</v>
      </c>
      <c r="E12" s="1556">
        <v>2324000</v>
      </c>
      <c r="F12" s="1556">
        <v>0</v>
      </c>
      <c r="G12" s="1556">
        <v>0</v>
      </c>
      <c r="H12" s="1556">
        <v>2324000</v>
      </c>
      <c r="I12" s="1550">
        <v>0</v>
      </c>
      <c r="J12" s="1550">
        <v>232400</v>
      </c>
      <c r="K12" s="1550">
        <v>0</v>
      </c>
      <c r="L12" s="1550">
        <v>0</v>
      </c>
      <c r="M12" s="1551">
        <v>232400</v>
      </c>
      <c r="N12" s="1540"/>
    </row>
    <row r="13" spans="2:14" ht="12.75">
      <c r="B13" s="1548"/>
      <c r="C13" s="1549" t="s">
        <v>779</v>
      </c>
      <c r="D13" s="1556">
        <v>0</v>
      </c>
      <c r="E13" s="1556">
        <v>1509750</v>
      </c>
      <c r="F13" s="1556">
        <v>0</v>
      </c>
      <c r="G13" s="1556">
        <v>0</v>
      </c>
      <c r="H13" s="1556">
        <v>1509750</v>
      </c>
      <c r="I13" s="1550">
        <v>0</v>
      </c>
      <c r="J13" s="1550">
        <v>150975</v>
      </c>
      <c r="K13" s="1550">
        <v>0</v>
      </c>
      <c r="L13" s="1550">
        <v>0</v>
      </c>
      <c r="M13" s="1551">
        <v>150975</v>
      </c>
      <c r="N13" s="1540"/>
    </row>
    <row r="14" spans="2:14" ht="12.75">
      <c r="B14" s="1548"/>
      <c r="C14" s="1549" t="s">
        <v>780</v>
      </c>
      <c r="D14" s="1556">
        <v>1645000</v>
      </c>
      <c r="E14" s="1556">
        <v>0</v>
      </c>
      <c r="F14" s="1556">
        <v>0</v>
      </c>
      <c r="G14" s="1556">
        <v>0</v>
      </c>
      <c r="H14" s="1556">
        <v>1645000</v>
      </c>
      <c r="I14" s="1550">
        <v>8225</v>
      </c>
      <c r="J14" s="1550">
        <v>0</v>
      </c>
      <c r="K14" s="1550">
        <v>0</v>
      </c>
      <c r="L14" s="1550">
        <v>0</v>
      </c>
      <c r="M14" s="1551">
        <v>8225</v>
      </c>
      <c r="N14" s="1540"/>
    </row>
    <row r="15" spans="2:14" ht="12.75">
      <c r="B15" s="1548"/>
      <c r="C15" s="1549" t="s">
        <v>780</v>
      </c>
      <c r="D15" s="1556">
        <v>922000</v>
      </c>
      <c r="E15" s="1556"/>
      <c r="F15" s="1556">
        <v>0</v>
      </c>
      <c r="G15" s="1556">
        <v>0</v>
      </c>
      <c r="H15" s="1556">
        <v>922000</v>
      </c>
      <c r="I15" s="1550">
        <v>4610</v>
      </c>
      <c r="J15" s="1550">
        <v>0</v>
      </c>
      <c r="K15" s="1550">
        <v>0</v>
      </c>
      <c r="L15" s="1550">
        <v>0</v>
      </c>
      <c r="M15" s="1551">
        <v>4610</v>
      </c>
      <c r="N15" s="1540"/>
    </row>
    <row r="16" spans="2:14" ht="12.75">
      <c r="B16" s="1548"/>
      <c r="C16" s="1549" t="s">
        <v>781</v>
      </c>
      <c r="D16" s="1556">
        <v>0</v>
      </c>
      <c r="E16" s="1556">
        <v>2857750</v>
      </c>
      <c r="F16" s="1556">
        <v>0</v>
      </c>
      <c r="G16" s="1556">
        <v>0</v>
      </c>
      <c r="H16" s="1556">
        <v>2857750</v>
      </c>
      <c r="I16" s="1550">
        <v>0</v>
      </c>
      <c r="J16" s="1550">
        <v>285775</v>
      </c>
      <c r="K16" s="1550">
        <v>0</v>
      </c>
      <c r="L16" s="1550">
        <v>0</v>
      </c>
      <c r="M16" s="1551">
        <v>285775</v>
      </c>
      <c r="N16" s="1540"/>
    </row>
    <row r="17" spans="2:13">
      <c r="B17" s="1548"/>
      <c r="C17" s="1549" t="s">
        <v>782</v>
      </c>
      <c r="D17" s="1556">
        <v>2844000</v>
      </c>
      <c r="E17" s="1556"/>
      <c r="F17" s="1556">
        <v>0</v>
      </c>
      <c r="G17" s="1556">
        <v>0</v>
      </c>
      <c r="H17" s="1556">
        <v>2844000</v>
      </c>
      <c r="I17" s="1550">
        <v>14220</v>
      </c>
      <c r="J17" s="1550">
        <v>0</v>
      </c>
      <c r="K17" s="1550">
        <v>0</v>
      </c>
      <c r="L17" s="1550">
        <v>0</v>
      </c>
      <c r="M17" s="1551">
        <v>14220</v>
      </c>
    </row>
    <row r="18" spans="2:13">
      <c r="B18" s="1548"/>
      <c r="C18" s="1549" t="s">
        <v>783</v>
      </c>
      <c r="D18" s="1556">
        <v>0</v>
      </c>
      <c r="E18" s="1556">
        <v>594000</v>
      </c>
      <c r="F18" s="1556">
        <v>0</v>
      </c>
      <c r="G18" s="1556">
        <v>0</v>
      </c>
      <c r="H18" s="1556">
        <v>594000</v>
      </c>
      <c r="I18" s="1550">
        <v>0</v>
      </c>
      <c r="J18" s="1550">
        <v>59400</v>
      </c>
      <c r="K18" s="1550">
        <v>0</v>
      </c>
      <c r="L18" s="1550">
        <v>0</v>
      </c>
      <c r="M18" s="1551">
        <v>59400</v>
      </c>
    </row>
    <row r="19" spans="2:13">
      <c r="B19" s="1548"/>
      <c r="C19" s="1549" t="s">
        <v>784</v>
      </c>
      <c r="D19" s="1556">
        <v>0</v>
      </c>
      <c r="E19" s="1556">
        <v>6680000</v>
      </c>
      <c r="F19" s="1556">
        <v>0</v>
      </c>
      <c r="G19" s="1556">
        <v>0</v>
      </c>
      <c r="H19" s="1556">
        <v>6680000</v>
      </c>
      <c r="I19" s="1550">
        <v>0</v>
      </c>
      <c r="J19" s="1550">
        <v>668000</v>
      </c>
      <c r="K19" s="1550">
        <v>0</v>
      </c>
      <c r="L19" s="1550">
        <v>0</v>
      </c>
      <c r="M19" s="1551">
        <v>668000</v>
      </c>
    </row>
    <row r="20" spans="2:13">
      <c r="B20" s="1548"/>
      <c r="C20" s="1549" t="s">
        <v>785</v>
      </c>
      <c r="D20" s="1556">
        <v>479000</v>
      </c>
      <c r="E20" s="1556">
        <v>0</v>
      </c>
      <c r="F20" s="1556">
        <v>0</v>
      </c>
      <c r="G20" s="1556">
        <v>0</v>
      </c>
      <c r="H20" s="1556">
        <v>479000</v>
      </c>
      <c r="I20" s="1550">
        <v>2395</v>
      </c>
      <c r="J20" s="1550">
        <v>0</v>
      </c>
      <c r="K20" s="1550">
        <v>0</v>
      </c>
      <c r="L20" s="1550">
        <v>0</v>
      </c>
      <c r="M20" s="1551">
        <v>2395</v>
      </c>
    </row>
    <row r="21" spans="2:13">
      <c r="B21" s="1548"/>
      <c r="C21" s="1549" t="s">
        <v>786</v>
      </c>
      <c r="D21" s="1556">
        <v>572500</v>
      </c>
      <c r="E21" s="1556">
        <v>0</v>
      </c>
      <c r="F21" s="1556">
        <v>0</v>
      </c>
      <c r="G21" s="1556">
        <v>0</v>
      </c>
      <c r="H21" s="1556">
        <v>572500</v>
      </c>
      <c r="I21" s="1550">
        <v>2862.5</v>
      </c>
      <c r="J21" s="1550">
        <v>0</v>
      </c>
      <c r="K21" s="1550">
        <v>0</v>
      </c>
      <c r="L21" s="1550">
        <v>0</v>
      </c>
      <c r="M21" s="1551">
        <v>2862.5</v>
      </c>
    </row>
    <row r="22" spans="2:13">
      <c r="B22" s="1548"/>
      <c r="C22" s="1549" t="s">
        <v>787</v>
      </c>
      <c r="D22" s="1556">
        <v>820000</v>
      </c>
      <c r="E22" s="1556">
        <v>0</v>
      </c>
      <c r="F22" s="1556">
        <v>0</v>
      </c>
      <c r="G22" s="1556">
        <v>0</v>
      </c>
      <c r="H22" s="1556">
        <v>820000</v>
      </c>
      <c r="I22" s="1550">
        <v>4100</v>
      </c>
      <c r="J22" s="1550">
        <v>0</v>
      </c>
      <c r="K22" s="1550">
        <v>0</v>
      </c>
      <c r="L22" s="1550">
        <v>0</v>
      </c>
      <c r="M22" s="1551">
        <v>4100</v>
      </c>
    </row>
    <row r="23" spans="2:13">
      <c r="B23" s="1548"/>
      <c r="C23" s="1549" t="s">
        <v>787</v>
      </c>
      <c r="D23" s="1556">
        <v>7368500</v>
      </c>
      <c r="E23" s="1556">
        <v>0</v>
      </c>
      <c r="F23" s="1556">
        <v>0</v>
      </c>
      <c r="G23" s="1556">
        <v>0</v>
      </c>
      <c r="H23" s="1556">
        <v>7368500</v>
      </c>
      <c r="I23" s="1550">
        <v>36842.5</v>
      </c>
      <c r="J23" s="1550">
        <v>0</v>
      </c>
      <c r="K23" s="1550">
        <v>0</v>
      </c>
      <c r="L23" s="1550">
        <v>0</v>
      </c>
      <c r="M23" s="1551">
        <v>36842.5</v>
      </c>
    </row>
    <row r="24" spans="2:13">
      <c r="B24" s="1548"/>
      <c r="C24" s="1549" t="s">
        <v>788</v>
      </c>
      <c r="D24" s="1556">
        <v>15832000</v>
      </c>
      <c r="E24" s="1556">
        <v>0</v>
      </c>
      <c r="F24" s="1556">
        <v>0</v>
      </c>
      <c r="G24" s="1556">
        <v>0</v>
      </c>
      <c r="H24" s="1556">
        <v>15832000</v>
      </c>
      <c r="I24" s="1550">
        <v>79160</v>
      </c>
      <c r="J24" s="1550">
        <v>0</v>
      </c>
      <c r="K24" s="1550">
        <v>0</v>
      </c>
      <c r="L24" s="1550">
        <v>0</v>
      </c>
      <c r="M24" s="1551">
        <v>79160</v>
      </c>
    </row>
    <row r="25" spans="2:13">
      <c r="B25" s="1548"/>
      <c r="C25" s="1557" t="s">
        <v>789</v>
      </c>
      <c r="D25" s="1556">
        <v>1200000</v>
      </c>
      <c r="E25" s="1558">
        <v>0</v>
      </c>
      <c r="F25" s="1556">
        <v>0</v>
      </c>
      <c r="G25" s="1556">
        <v>0</v>
      </c>
      <c r="H25" s="1556">
        <v>1200000</v>
      </c>
      <c r="I25" s="1550">
        <v>6000</v>
      </c>
      <c r="J25" s="1550">
        <v>0</v>
      </c>
      <c r="K25" s="1550">
        <v>0</v>
      </c>
      <c r="L25" s="1550">
        <v>0</v>
      </c>
      <c r="M25" s="1551">
        <v>6000</v>
      </c>
    </row>
    <row r="26" spans="2:13">
      <c r="B26" s="1548"/>
      <c r="C26" s="1557" t="s">
        <v>790</v>
      </c>
      <c r="D26" s="1556">
        <v>1188000</v>
      </c>
      <c r="E26" s="1558">
        <v>0</v>
      </c>
      <c r="F26" s="1556">
        <v>0</v>
      </c>
      <c r="G26" s="1556">
        <v>0</v>
      </c>
      <c r="H26" s="1556">
        <v>1188000</v>
      </c>
      <c r="I26" s="1550">
        <v>5940</v>
      </c>
      <c r="J26" s="1550">
        <v>0</v>
      </c>
      <c r="K26" s="1550">
        <v>0</v>
      </c>
      <c r="L26" s="1550">
        <v>0</v>
      </c>
      <c r="M26" s="1551">
        <v>5940</v>
      </c>
    </row>
    <row r="27" spans="2:13">
      <c r="B27" s="1548"/>
      <c r="C27" s="1557" t="s">
        <v>791</v>
      </c>
      <c r="D27" s="1556">
        <v>594000</v>
      </c>
      <c r="E27" s="1556">
        <v>0</v>
      </c>
      <c r="F27" s="1556">
        <v>0</v>
      </c>
      <c r="G27" s="1556">
        <v>0</v>
      </c>
      <c r="H27" s="1556">
        <v>594000</v>
      </c>
      <c r="I27" s="1550">
        <v>2970</v>
      </c>
      <c r="J27" s="1550">
        <v>0</v>
      </c>
      <c r="K27" s="1550">
        <v>0</v>
      </c>
      <c r="L27" s="1550">
        <v>0</v>
      </c>
      <c r="M27" s="1551">
        <v>2970</v>
      </c>
    </row>
    <row r="28" spans="2:13">
      <c r="B28" s="1548"/>
      <c r="C28" s="1557" t="s">
        <v>792</v>
      </c>
      <c r="D28" s="1556">
        <v>594000</v>
      </c>
      <c r="E28" s="1556">
        <v>0</v>
      </c>
      <c r="F28" s="1556">
        <v>0</v>
      </c>
      <c r="G28" s="1556">
        <v>0</v>
      </c>
      <c r="H28" s="1556">
        <v>594000</v>
      </c>
      <c r="I28" s="1550">
        <v>2970</v>
      </c>
      <c r="J28" s="1550">
        <v>0</v>
      </c>
      <c r="K28" s="1550">
        <v>0</v>
      </c>
      <c r="L28" s="1550">
        <v>0</v>
      </c>
      <c r="M28" s="1551">
        <v>2970</v>
      </c>
    </row>
    <row r="29" spans="2:13">
      <c r="B29" s="1548"/>
      <c r="C29" s="1557" t="s">
        <v>793</v>
      </c>
      <c r="D29" s="1556">
        <v>594000</v>
      </c>
      <c r="E29" s="1556">
        <v>0</v>
      </c>
      <c r="F29" s="1556">
        <v>0</v>
      </c>
      <c r="G29" s="1556">
        <v>0</v>
      </c>
      <c r="H29" s="1556">
        <v>594000</v>
      </c>
      <c r="I29" s="1550">
        <v>2970</v>
      </c>
      <c r="J29" s="1550">
        <v>0</v>
      </c>
      <c r="K29" s="1550">
        <v>0</v>
      </c>
      <c r="L29" s="1550">
        <v>0</v>
      </c>
      <c r="M29" s="1551">
        <v>2970</v>
      </c>
    </row>
    <row r="30" spans="2:13">
      <c r="B30" s="1548"/>
      <c r="C30" s="1557" t="s">
        <v>794</v>
      </c>
      <c r="D30" s="1556">
        <v>594000</v>
      </c>
      <c r="E30" s="1556">
        <v>0</v>
      </c>
      <c r="F30" s="1556">
        <v>0</v>
      </c>
      <c r="G30" s="1556">
        <v>0</v>
      </c>
      <c r="H30" s="1556">
        <v>594000</v>
      </c>
      <c r="I30" s="1550">
        <v>2970</v>
      </c>
      <c r="J30" s="1550">
        <v>0</v>
      </c>
      <c r="K30" s="1550">
        <v>0</v>
      </c>
      <c r="L30" s="1550">
        <v>0</v>
      </c>
      <c r="M30" s="1551">
        <v>2970</v>
      </c>
    </row>
    <row r="31" spans="2:13">
      <c r="B31" s="1548"/>
      <c r="C31" s="1557" t="s">
        <v>795</v>
      </c>
      <c r="D31" s="1556">
        <v>988750</v>
      </c>
      <c r="E31" s="1556">
        <v>0</v>
      </c>
      <c r="F31" s="1556">
        <v>0</v>
      </c>
      <c r="G31" s="1556">
        <v>0</v>
      </c>
      <c r="H31" s="1556">
        <v>988750</v>
      </c>
      <c r="I31" s="1550">
        <v>4943.75</v>
      </c>
      <c r="J31" s="1550">
        <v>0</v>
      </c>
      <c r="K31" s="1550">
        <v>0</v>
      </c>
      <c r="L31" s="1550">
        <v>0</v>
      </c>
      <c r="M31" s="1551">
        <v>4943.75</v>
      </c>
    </row>
    <row r="32" spans="2:13">
      <c r="B32" s="1548"/>
      <c r="C32" s="1557" t="s">
        <v>796</v>
      </c>
      <c r="D32" s="1556">
        <v>988750</v>
      </c>
      <c r="E32" s="1556">
        <v>0</v>
      </c>
      <c r="F32" s="1556">
        <v>0</v>
      </c>
      <c r="G32" s="1556">
        <v>0</v>
      </c>
      <c r="H32" s="1556">
        <v>988750</v>
      </c>
      <c r="I32" s="1550">
        <v>4943.75</v>
      </c>
      <c r="J32" s="1550">
        <v>0</v>
      </c>
      <c r="K32" s="1550">
        <v>0</v>
      </c>
      <c r="L32" s="1550">
        <v>0</v>
      </c>
      <c r="M32" s="1551">
        <v>4943.75</v>
      </c>
    </row>
    <row r="33" spans="2:14" ht="12.75">
      <c r="B33" s="1548"/>
      <c r="C33" s="1557" t="s">
        <v>797</v>
      </c>
      <c r="D33" s="1556">
        <v>988750</v>
      </c>
      <c r="E33" s="1556">
        <v>0</v>
      </c>
      <c r="F33" s="1556">
        <v>0</v>
      </c>
      <c r="G33" s="1556">
        <v>0</v>
      </c>
      <c r="H33" s="1556">
        <v>988750</v>
      </c>
      <c r="I33" s="1550">
        <v>4943.75</v>
      </c>
      <c r="J33" s="1550">
        <v>0</v>
      </c>
      <c r="K33" s="1550">
        <v>0</v>
      </c>
      <c r="L33" s="1550">
        <v>0</v>
      </c>
      <c r="M33" s="1551">
        <v>4943.75</v>
      </c>
      <c r="N33" s="1540"/>
    </row>
    <row r="34" spans="2:14" ht="12.75">
      <c r="B34" s="1548"/>
      <c r="C34" s="1557" t="s">
        <v>798</v>
      </c>
      <c r="D34" s="1556">
        <v>988750</v>
      </c>
      <c r="E34" s="1556">
        <v>0</v>
      </c>
      <c r="F34" s="1556">
        <v>0</v>
      </c>
      <c r="G34" s="1556">
        <v>0</v>
      </c>
      <c r="H34" s="1556">
        <v>988750</v>
      </c>
      <c r="I34" s="1550">
        <v>4943.75</v>
      </c>
      <c r="J34" s="1550">
        <v>0</v>
      </c>
      <c r="K34" s="1550">
        <v>0</v>
      </c>
      <c r="L34" s="1550">
        <v>0</v>
      </c>
      <c r="M34" s="1551">
        <v>4943.75</v>
      </c>
      <c r="N34" s="1540"/>
    </row>
    <row r="35" spans="2:14" ht="12.75">
      <c r="B35" s="1548"/>
      <c r="C35" s="1557" t="s">
        <v>799</v>
      </c>
      <c r="D35" s="1556">
        <v>988750</v>
      </c>
      <c r="E35" s="1556">
        <v>0</v>
      </c>
      <c r="F35" s="1556">
        <v>0</v>
      </c>
      <c r="G35" s="1556">
        <v>0</v>
      </c>
      <c r="H35" s="1556">
        <v>988750</v>
      </c>
      <c r="I35" s="1550">
        <v>4943.75</v>
      </c>
      <c r="J35" s="1550">
        <v>0</v>
      </c>
      <c r="K35" s="1550">
        <v>0</v>
      </c>
      <c r="L35" s="1550">
        <v>0</v>
      </c>
      <c r="M35" s="1551">
        <v>4943.75</v>
      </c>
      <c r="N35" s="1540"/>
    </row>
    <row r="36" spans="2:14" ht="12.75">
      <c r="B36" s="1548"/>
      <c r="C36" s="1557" t="s">
        <v>800</v>
      </c>
      <c r="D36" s="1556">
        <v>988750</v>
      </c>
      <c r="E36" s="1556">
        <v>0</v>
      </c>
      <c r="F36" s="1556">
        <v>0</v>
      </c>
      <c r="G36" s="1556">
        <v>0</v>
      </c>
      <c r="H36" s="1556">
        <v>988750</v>
      </c>
      <c r="I36" s="1550">
        <v>4943.75</v>
      </c>
      <c r="J36" s="1550">
        <v>0</v>
      </c>
      <c r="K36" s="1550">
        <v>0</v>
      </c>
      <c r="L36" s="1550">
        <v>0</v>
      </c>
      <c r="M36" s="1551">
        <v>4943.75</v>
      </c>
      <c r="N36" s="1540"/>
    </row>
    <row r="37" spans="2:14" ht="12.75">
      <c r="B37" s="1548"/>
      <c r="C37" s="1557" t="s">
        <v>785</v>
      </c>
      <c r="D37" s="1556">
        <v>479000</v>
      </c>
      <c r="E37" s="1556">
        <v>0</v>
      </c>
      <c r="F37" s="1556">
        <v>0</v>
      </c>
      <c r="G37" s="1556">
        <v>0</v>
      </c>
      <c r="H37" s="1556">
        <v>479000</v>
      </c>
      <c r="I37" s="1550">
        <v>2395</v>
      </c>
      <c r="J37" s="1550">
        <v>0</v>
      </c>
      <c r="K37" s="1550">
        <v>0</v>
      </c>
      <c r="L37" s="1550">
        <v>0</v>
      </c>
      <c r="M37" s="1551">
        <v>2395</v>
      </c>
      <c r="N37" s="1540"/>
    </row>
    <row r="38" spans="2:14" ht="12.75">
      <c r="B38" s="1548"/>
      <c r="C38" s="1549"/>
      <c r="D38" s="1556"/>
      <c r="E38" s="1559"/>
      <c r="F38" s="1550"/>
      <c r="G38" s="1550"/>
      <c r="H38" s="1551"/>
      <c r="I38" s="1550"/>
      <c r="J38" s="1550"/>
      <c r="K38" s="1550"/>
      <c r="L38" s="1550"/>
      <c r="M38" s="1551"/>
      <c r="N38" s="1540"/>
    </row>
    <row r="39" spans="2:14">
      <c r="B39" s="1552">
        <v>2</v>
      </c>
      <c r="C39" s="1560" t="s">
        <v>1478</v>
      </c>
      <c r="D39" s="1561">
        <v>3600000</v>
      </c>
      <c r="E39" s="1562">
        <v>0</v>
      </c>
      <c r="F39" s="1561">
        <v>0</v>
      </c>
      <c r="G39" s="1561">
        <v>0</v>
      </c>
      <c r="H39" s="1561">
        <v>3600000</v>
      </c>
      <c r="I39" s="1561">
        <v>18000</v>
      </c>
      <c r="J39" s="1561">
        <v>0</v>
      </c>
      <c r="K39" s="1561">
        <v>0</v>
      </c>
      <c r="L39" s="1561">
        <v>0</v>
      </c>
      <c r="M39" s="1561">
        <v>18000</v>
      </c>
      <c r="N39" s="1563">
        <f>M39</f>
        <v>18000</v>
      </c>
    </row>
    <row r="40" spans="2:14" ht="12.75">
      <c r="B40" s="1548"/>
      <c r="C40" s="1564" t="s">
        <v>1479</v>
      </c>
      <c r="D40" s="1556">
        <v>3600000</v>
      </c>
      <c r="E40" s="1556">
        <v>0</v>
      </c>
      <c r="F40" s="1556">
        <v>0</v>
      </c>
      <c r="G40" s="1556">
        <v>0</v>
      </c>
      <c r="H40" s="1556">
        <v>3600000</v>
      </c>
      <c r="I40" s="1550">
        <v>18000</v>
      </c>
      <c r="J40" s="1550">
        <v>0</v>
      </c>
      <c r="K40" s="1550">
        <v>0</v>
      </c>
      <c r="L40" s="1550">
        <v>0</v>
      </c>
      <c r="M40" s="1551">
        <v>18000</v>
      </c>
      <c r="N40" s="1540"/>
    </row>
    <row r="41" spans="2:14" ht="12.75">
      <c r="B41" s="1548"/>
      <c r="C41" s="1564"/>
      <c r="D41" s="1556"/>
      <c r="E41" s="1556"/>
      <c r="F41" s="1556"/>
      <c r="G41" s="1556"/>
      <c r="H41" s="1556"/>
      <c r="I41" s="1550"/>
      <c r="J41" s="1550"/>
      <c r="K41" s="1550"/>
      <c r="L41" s="1550"/>
      <c r="M41" s="1551"/>
      <c r="N41" s="1540"/>
    </row>
    <row r="42" spans="2:14">
      <c r="B42" s="1565"/>
      <c r="C42" s="1566"/>
      <c r="D42" s="1567"/>
      <c r="E42" s="1567"/>
      <c r="F42" s="1567"/>
      <c r="G42" s="1567"/>
      <c r="H42" s="1567"/>
      <c r="I42" s="1568"/>
      <c r="J42" s="1568"/>
      <c r="K42" s="1568"/>
      <c r="L42" s="1568"/>
      <c r="M42" s="1569"/>
      <c r="N42" s="1570"/>
    </row>
    <row r="43" spans="2:14">
      <c r="B43" s="1565"/>
      <c r="C43" s="1566"/>
      <c r="D43" s="1567"/>
      <c r="E43" s="1567"/>
      <c r="F43" s="1567"/>
      <c r="G43" s="1567"/>
      <c r="H43" s="1567"/>
      <c r="I43" s="1568"/>
      <c r="J43" s="1568"/>
      <c r="K43" s="1568"/>
      <c r="L43" s="1568"/>
      <c r="M43" s="1569"/>
      <c r="N43" s="1570"/>
    </row>
    <row r="44" spans="2:14">
      <c r="B44" s="1565"/>
      <c r="C44" s="1566"/>
      <c r="D44" s="1567"/>
      <c r="E44" s="1567"/>
      <c r="F44" s="1567"/>
      <c r="G44" s="1567"/>
      <c r="H44" s="1567"/>
      <c r="I44" s="1568"/>
      <c r="J44" s="1568"/>
      <c r="K44" s="1568"/>
      <c r="L44" s="1568"/>
      <c r="M44" s="1569"/>
      <c r="N44" s="1570"/>
    </row>
    <row r="45" spans="2:14">
      <c r="B45" s="1565"/>
      <c r="C45" s="1566"/>
      <c r="D45" s="1567"/>
      <c r="E45" s="1567"/>
      <c r="F45" s="1567"/>
      <c r="G45" s="1567"/>
      <c r="H45" s="1567"/>
      <c r="I45" s="1568"/>
      <c r="J45" s="1568"/>
      <c r="K45" s="1568"/>
      <c r="L45" s="1568"/>
      <c r="M45" s="1569"/>
      <c r="N45" s="1570"/>
    </row>
    <row r="46" spans="2:14">
      <c r="B46" s="1565"/>
      <c r="C46" s="1566"/>
      <c r="D46" s="1567"/>
      <c r="E46" s="1567"/>
      <c r="F46" s="1567"/>
      <c r="G46" s="1567"/>
      <c r="H46" s="1567"/>
      <c r="I46" s="1568"/>
      <c r="J46" s="1568"/>
      <c r="K46" s="1568"/>
      <c r="L46" s="1568"/>
      <c r="M46" s="1569"/>
      <c r="N46" s="1570"/>
    </row>
    <row r="47" spans="2:14">
      <c r="B47" s="1565"/>
      <c r="C47" s="1566"/>
      <c r="D47" s="1567"/>
      <c r="E47" s="1567"/>
      <c r="F47" s="1567"/>
      <c r="G47" s="1567"/>
      <c r="H47" s="1567"/>
      <c r="I47" s="1568"/>
      <c r="J47" s="1568"/>
      <c r="K47" s="1568"/>
      <c r="L47" s="1568"/>
      <c r="M47" s="1569"/>
      <c r="N47" s="1570"/>
    </row>
    <row r="48" spans="2:14">
      <c r="B48" s="1565"/>
      <c r="C48" s="1566"/>
      <c r="D48" s="1567"/>
      <c r="E48" s="1567"/>
      <c r="F48" s="1567"/>
      <c r="G48" s="1567"/>
      <c r="H48" s="1567"/>
      <c r="I48" s="1568"/>
      <c r="J48" s="1568"/>
      <c r="K48" s="1568"/>
      <c r="L48" s="1568"/>
      <c r="M48" s="1569"/>
      <c r="N48" s="1570"/>
    </row>
    <row r="49" spans="2:14">
      <c r="B49" s="1565"/>
      <c r="C49" s="1566"/>
      <c r="D49" s="1567"/>
      <c r="E49" s="1567"/>
      <c r="F49" s="1567"/>
      <c r="G49" s="1567"/>
      <c r="H49" s="1567"/>
      <c r="I49" s="1568"/>
      <c r="J49" s="1568"/>
      <c r="K49" s="1568"/>
      <c r="L49" s="1568"/>
      <c r="M49" s="1569"/>
      <c r="N49" s="1570"/>
    </row>
    <row r="50" spans="2:14">
      <c r="B50" s="1565"/>
      <c r="C50" s="1566"/>
      <c r="D50" s="1567"/>
      <c r="E50" s="1567"/>
      <c r="F50" s="1567"/>
      <c r="G50" s="1567"/>
      <c r="H50" s="1567"/>
      <c r="I50" s="1568"/>
      <c r="J50" s="1568"/>
      <c r="K50" s="1568"/>
      <c r="L50" s="1568"/>
      <c r="M50" s="1569"/>
      <c r="N50" s="1570"/>
    </row>
    <row r="51" spans="2:14">
      <c r="B51" s="1565"/>
      <c r="C51" s="1566"/>
      <c r="D51" s="1567"/>
      <c r="E51" s="1567"/>
      <c r="F51" s="1567"/>
      <c r="G51" s="1567"/>
      <c r="H51" s="1567"/>
      <c r="I51" s="1568"/>
      <c r="J51" s="1568"/>
      <c r="K51" s="1568"/>
      <c r="L51" s="1568"/>
      <c r="M51" s="1569"/>
      <c r="N51" s="1570"/>
    </row>
    <row r="52" spans="2:14" ht="12.75">
      <c r="B52" s="2063" t="s">
        <v>1466</v>
      </c>
      <c r="C52" s="2063" t="s">
        <v>114</v>
      </c>
      <c r="D52" s="2064" t="s">
        <v>1467</v>
      </c>
      <c r="E52" s="2065"/>
      <c r="F52" s="2065"/>
      <c r="G52" s="2065"/>
      <c r="H52" s="2066"/>
      <c r="I52" s="2064" t="s">
        <v>1468</v>
      </c>
      <c r="J52" s="2065"/>
      <c r="K52" s="2065"/>
      <c r="L52" s="2065"/>
      <c r="M52" s="2066"/>
      <c r="N52" s="1540"/>
    </row>
    <row r="53" spans="2:14" ht="33.75">
      <c r="B53" s="2063"/>
      <c r="C53" s="2063"/>
      <c r="D53" s="1544" t="s">
        <v>1469</v>
      </c>
      <c r="E53" s="1545" t="s">
        <v>1470</v>
      </c>
      <c r="F53" s="1545" t="s">
        <v>1471</v>
      </c>
      <c r="G53" s="1544" t="s">
        <v>1472</v>
      </c>
      <c r="H53" s="2067" t="s">
        <v>9</v>
      </c>
      <c r="I53" s="1544" t="s">
        <v>1469</v>
      </c>
      <c r="J53" s="1545" t="s">
        <v>1470</v>
      </c>
      <c r="K53" s="1545" t="s">
        <v>1471</v>
      </c>
      <c r="L53" s="1545" t="s">
        <v>1472</v>
      </c>
      <c r="M53" s="2067" t="s">
        <v>9</v>
      </c>
      <c r="N53" s="1540"/>
    </row>
    <row r="54" spans="2:14" ht="22.5">
      <c r="B54" s="2063"/>
      <c r="C54" s="2063"/>
      <c r="D54" s="1544" t="s">
        <v>1480</v>
      </c>
      <c r="E54" s="1544" t="s">
        <v>1481</v>
      </c>
      <c r="F54" s="1544" t="s">
        <v>1482</v>
      </c>
      <c r="G54" s="1545" t="s">
        <v>1483</v>
      </c>
      <c r="H54" s="2068"/>
      <c r="I54" s="1546">
        <v>5.0000000000000001E-3</v>
      </c>
      <c r="J54" s="1547">
        <v>0.1</v>
      </c>
      <c r="K54" s="1547">
        <v>0.5</v>
      </c>
      <c r="L54" s="1547">
        <v>1</v>
      </c>
      <c r="M54" s="2068"/>
      <c r="N54" s="1540"/>
    </row>
    <row r="55" spans="2:14">
      <c r="B55" s="1571"/>
      <c r="C55" s="1571"/>
      <c r="D55" s="1571"/>
      <c r="E55" s="1571"/>
      <c r="F55" s="1571"/>
      <c r="G55" s="1571"/>
      <c r="H55" s="1572"/>
      <c r="I55" s="1573"/>
      <c r="J55" s="1574"/>
      <c r="K55" s="1574"/>
      <c r="L55" s="1574"/>
      <c r="M55" s="1572"/>
      <c r="N55" s="1575"/>
    </row>
    <row r="56" spans="2:14">
      <c r="B56" s="1552">
        <v>3</v>
      </c>
      <c r="C56" s="1560" t="s">
        <v>1484</v>
      </c>
      <c r="D56" s="1561">
        <v>1423514232.73</v>
      </c>
      <c r="E56" s="1561">
        <v>12149657.529999999</v>
      </c>
      <c r="F56" s="1561">
        <v>0</v>
      </c>
      <c r="G56" s="1561">
        <v>0</v>
      </c>
      <c r="H56" s="1561">
        <v>1435663890.26</v>
      </c>
      <c r="I56" s="1561">
        <v>6937976.6636500005</v>
      </c>
      <c r="J56" s="1561">
        <v>4806855.7530000005</v>
      </c>
      <c r="K56" s="1561">
        <v>0</v>
      </c>
      <c r="L56" s="1561">
        <v>0</v>
      </c>
      <c r="M56" s="1561">
        <v>11744832.416650001</v>
      </c>
      <c r="N56" s="1576">
        <f>M56</f>
        <v>11744832.416650001</v>
      </c>
    </row>
    <row r="57" spans="2:14" ht="12.75">
      <c r="B57" s="1552"/>
      <c r="C57" s="1577" t="s">
        <v>806</v>
      </c>
      <c r="D57" s="1550"/>
      <c r="E57" s="1550"/>
      <c r="F57" s="1550"/>
      <c r="G57" s="1550"/>
      <c r="H57" s="1551"/>
      <c r="I57" s="1550"/>
      <c r="J57" s="1550"/>
      <c r="K57" s="1550"/>
      <c r="L57" s="1550"/>
      <c r="M57" s="1551"/>
      <c r="N57" s="1540"/>
    </row>
    <row r="58" spans="2:14" ht="12.75">
      <c r="B58" s="1552"/>
      <c r="C58" s="1578" t="s">
        <v>827</v>
      </c>
      <c r="D58" s="1579">
        <v>277292445.72000003</v>
      </c>
      <c r="E58" s="1550"/>
      <c r="F58" s="1550"/>
      <c r="G58" s="1550"/>
      <c r="H58" s="1556">
        <v>277292445.72000003</v>
      </c>
      <c r="I58" s="1579">
        <v>1386462.2286000003</v>
      </c>
      <c r="J58" s="1550"/>
      <c r="K58" s="1550"/>
      <c r="L58" s="1550"/>
      <c r="M58" s="1551">
        <v>1386462.2286000003</v>
      </c>
      <c r="N58" s="1540"/>
    </row>
    <row r="59" spans="2:14" ht="12.75">
      <c r="B59" s="1552"/>
      <c r="C59" s="1578" t="s">
        <v>828</v>
      </c>
      <c r="D59" s="1579">
        <v>54703340.579999998</v>
      </c>
      <c r="E59" s="1550"/>
      <c r="F59" s="1550"/>
      <c r="G59" s="1550"/>
      <c r="H59" s="1556">
        <v>54703340.579999998</v>
      </c>
      <c r="I59" s="1579">
        <v>273516.70289999997</v>
      </c>
      <c r="J59" s="1550"/>
      <c r="K59" s="1550"/>
      <c r="L59" s="1550"/>
      <c r="M59" s="1551">
        <v>273516.70289999997</v>
      </c>
      <c r="N59" s="1540"/>
    </row>
    <row r="60" spans="2:14" ht="12.75">
      <c r="B60" s="1552"/>
      <c r="C60" s="1578" t="s">
        <v>829</v>
      </c>
      <c r="D60" s="1579">
        <v>19577307.699999999</v>
      </c>
      <c r="E60" s="1550"/>
      <c r="F60" s="1550"/>
      <c r="G60" s="1550"/>
      <c r="H60" s="1556">
        <v>19577307.699999999</v>
      </c>
      <c r="I60" s="1579">
        <v>97886.538499999995</v>
      </c>
      <c r="J60" s="1550"/>
      <c r="K60" s="1550"/>
      <c r="L60" s="1550"/>
      <c r="M60" s="1551">
        <v>97886.538499999995</v>
      </c>
      <c r="N60" s="1540"/>
    </row>
    <row r="61" spans="2:14" ht="12.75">
      <c r="B61" s="1552"/>
      <c r="C61" s="1578" t="s">
        <v>830</v>
      </c>
      <c r="D61" s="1579">
        <v>83763821.730000004</v>
      </c>
      <c r="E61" s="1550"/>
      <c r="F61" s="1550"/>
      <c r="G61" s="1550"/>
      <c r="H61" s="1556">
        <v>83763821.730000004</v>
      </c>
      <c r="I61" s="1579">
        <v>418819.10865000001</v>
      </c>
      <c r="J61" s="1550"/>
      <c r="K61" s="1550"/>
      <c r="L61" s="1550"/>
      <c r="M61" s="1551">
        <v>418819.10865000001</v>
      </c>
      <c r="N61" s="1540"/>
    </row>
    <row r="62" spans="2:14" ht="12.75">
      <c r="B62" s="1552"/>
      <c r="C62" s="1578" t="s">
        <v>831</v>
      </c>
      <c r="D62" s="1579">
        <v>271795</v>
      </c>
      <c r="E62" s="1550"/>
      <c r="F62" s="1550"/>
      <c r="G62" s="1550"/>
      <c r="H62" s="1556">
        <v>271795</v>
      </c>
      <c r="I62" s="1579">
        <v>1358.9749999999999</v>
      </c>
      <c r="J62" s="1550"/>
      <c r="K62" s="1550"/>
      <c r="L62" s="1550"/>
      <c r="M62" s="1551">
        <v>1358.9749999999999</v>
      </c>
      <c r="N62" s="1540"/>
    </row>
    <row r="63" spans="2:14" ht="12.75">
      <c r="B63" s="1552"/>
      <c r="C63" s="1578" t="s">
        <v>832</v>
      </c>
      <c r="D63" s="1579">
        <v>26755400</v>
      </c>
      <c r="E63" s="1550"/>
      <c r="F63" s="1550"/>
      <c r="G63" s="1550"/>
      <c r="H63" s="1556">
        <v>26755400</v>
      </c>
      <c r="I63" s="1579">
        <v>133777</v>
      </c>
      <c r="J63" s="1550"/>
      <c r="K63" s="1550"/>
      <c r="L63" s="1550"/>
      <c r="M63" s="1551">
        <v>133777</v>
      </c>
      <c r="N63" s="1540"/>
    </row>
    <row r="64" spans="2:14" ht="12.75">
      <c r="B64" s="1552"/>
      <c r="C64" s="1578" t="s">
        <v>833</v>
      </c>
      <c r="D64" s="1580">
        <v>56560000</v>
      </c>
      <c r="E64" s="1550"/>
      <c r="F64" s="1550"/>
      <c r="G64" s="1550"/>
      <c r="H64" s="1556">
        <v>56560000</v>
      </c>
      <c r="I64" s="1579">
        <v>282800</v>
      </c>
      <c r="J64" s="1550"/>
      <c r="K64" s="1550"/>
      <c r="L64" s="1550"/>
      <c r="M64" s="1551">
        <v>282800</v>
      </c>
      <c r="N64" s="1540"/>
    </row>
    <row r="65" spans="2:14" ht="12.75">
      <c r="B65" s="1552"/>
      <c r="C65" s="1578" t="s">
        <v>834</v>
      </c>
      <c r="D65" s="1580">
        <v>165175622</v>
      </c>
      <c r="E65" s="1550"/>
      <c r="F65" s="1550"/>
      <c r="G65" s="1550"/>
      <c r="H65" s="1556">
        <v>165175622</v>
      </c>
      <c r="I65" s="1579">
        <v>825878.11</v>
      </c>
      <c r="J65" s="1550"/>
      <c r="K65" s="1550"/>
      <c r="L65" s="1550"/>
      <c r="M65" s="1551">
        <v>825878.11</v>
      </c>
      <c r="N65" s="1540"/>
    </row>
    <row r="66" spans="2:14" ht="12.75">
      <c r="B66" s="1552"/>
      <c r="C66" s="1578" t="s">
        <v>835</v>
      </c>
      <c r="D66" s="1580">
        <v>30939000</v>
      </c>
      <c r="E66" s="1550"/>
      <c r="F66" s="1550"/>
      <c r="G66" s="1550"/>
      <c r="H66" s="1556">
        <v>30939000</v>
      </c>
      <c r="I66" s="1579">
        <v>154695</v>
      </c>
      <c r="J66" s="1550"/>
      <c r="K66" s="1550"/>
      <c r="L66" s="1550"/>
      <c r="M66" s="1551">
        <v>154695</v>
      </c>
      <c r="N66" s="1540"/>
    </row>
    <row r="67" spans="2:14" ht="12.75">
      <c r="B67" s="1552"/>
      <c r="C67" s="1578" t="s">
        <v>836</v>
      </c>
      <c r="D67" s="1580">
        <v>507810800</v>
      </c>
      <c r="E67" s="1550"/>
      <c r="F67" s="1550"/>
      <c r="G67" s="1550"/>
      <c r="H67" s="1556">
        <v>507810800</v>
      </c>
      <c r="I67" s="1579">
        <v>2539054</v>
      </c>
      <c r="J67" s="1550"/>
      <c r="K67" s="1550"/>
      <c r="L67" s="1550"/>
      <c r="M67" s="1551">
        <v>2539054</v>
      </c>
      <c r="N67" s="1540"/>
    </row>
    <row r="68" spans="2:14" ht="12.75">
      <c r="B68" s="1552"/>
      <c r="C68" s="1578" t="s">
        <v>837</v>
      </c>
      <c r="D68" s="1580">
        <v>164745800</v>
      </c>
      <c r="E68" s="1550"/>
      <c r="F68" s="1550"/>
      <c r="G68" s="1550"/>
      <c r="H68" s="1556">
        <v>164745800</v>
      </c>
      <c r="I68" s="1579">
        <v>823729</v>
      </c>
      <c r="J68" s="1550"/>
      <c r="K68" s="1550"/>
      <c r="L68" s="1550"/>
      <c r="M68" s="1551">
        <v>823729</v>
      </c>
      <c r="N68" s="1540"/>
    </row>
    <row r="69" spans="2:14" ht="12.75">
      <c r="B69" s="1552"/>
      <c r="C69" s="1578" t="s">
        <v>1485</v>
      </c>
      <c r="D69" s="1580">
        <v>1468000</v>
      </c>
      <c r="E69" s="1550"/>
      <c r="F69" s="1550"/>
      <c r="G69" s="1550"/>
      <c r="H69" s="1556">
        <v>1468000</v>
      </c>
      <c r="I69" s="1579"/>
      <c r="J69" s="1550">
        <v>146800</v>
      </c>
      <c r="K69" s="1550"/>
      <c r="L69" s="1550"/>
      <c r="M69" s="1551">
        <v>146800</v>
      </c>
      <c r="N69" s="1540"/>
    </row>
    <row r="70" spans="2:14" ht="12.75">
      <c r="B70" s="1552"/>
      <c r="C70" s="1578" t="s">
        <v>1486</v>
      </c>
      <c r="D70" s="1580">
        <v>34450900</v>
      </c>
      <c r="E70" s="1550"/>
      <c r="F70" s="1550"/>
      <c r="G70" s="1550"/>
      <c r="H70" s="1556">
        <v>34450900</v>
      </c>
      <c r="I70" s="1579"/>
      <c r="J70" s="1550">
        <v>3445090</v>
      </c>
      <c r="K70" s="1550"/>
      <c r="L70" s="1550"/>
      <c r="M70" s="1551">
        <v>3445090</v>
      </c>
      <c r="N70" s="1540"/>
    </row>
    <row r="71" spans="2:14" ht="12.75">
      <c r="B71" s="1552"/>
      <c r="C71" s="1577" t="s">
        <v>838</v>
      </c>
      <c r="D71" s="1550"/>
      <c r="E71" s="1550"/>
      <c r="F71" s="1550"/>
      <c r="G71" s="1550"/>
      <c r="H71" s="1551"/>
      <c r="I71" s="1550"/>
      <c r="J71" s="1550"/>
      <c r="K71" s="1550"/>
      <c r="L71" s="1550"/>
      <c r="M71" s="1551"/>
      <c r="N71" s="1540"/>
    </row>
    <row r="72" spans="2:14">
      <c r="B72" s="1552"/>
      <c r="C72" s="1578" t="s">
        <v>839</v>
      </c>
      <c r="D72" s="1550"/>
      <c r="E72" s="1580">
        <v>12149657.529999999</v>
      </c>
      <c r="F72" s="1550"/>
      <c r="G72" s="1550"/>
      <c r="H72" s="1556">
        <v>12149657.529999999</v>
      </c>
      <c r="I72" s="1550"/>
      <c r="J72" s="1550">
        <v>1214965.753</v>
      </c>
      <c r="K72" s="1550"/>
      <c r="L72" s="1550"/>
      <c r="M72" s="1551">
        <v>1214965.753</v>
      </c>
      <c r="N72" s="1581"/>
    </row>
    <row r="73" spans="2:14" ht="12.75">
      <c r="B73" s="1552"/>
      <c r="C73" s="1582"/>
      <c r="D73" s="1550"/>
      <c r="E73" s="1550"/>
      <c r="F73" s="1550"/>
      <c r="G73" s="1550"/>
      <c r="H73" s="1551"/>
      <c r="I73" s="1550"/>
      <c r="J73" s="1550"/>
      <c r="K73" s="1550"/>
      <c r="L73" s="1550"/>
      <c r="M73" s="1551"/>
      <c r="N73" s="1540"/>
    </row>
    <row r="74" spans="2:14">
      <c r="B74" s="1552">
        <v>4</v>
      </c>
      <c r="C74" s="1560" t="s">
        <v>1487</v>
      </c>
      <c r="D74" s="1561">
        <v>800933050</v>
      </c>
      <c r="E74" s="1561">
        <v>18871900</v>
      </c>
      <c r="F74" s="1561">
        <v>20440100</v>
      </c>
      <c r="G74" s="1561">
        <v>22682400</v>
      </c>
      <c r="H74" s="1561">
        <v>862927450</v>
      </c>
      <c r="I74" s="1561">
        <v>4004665.25</v>
      </c>
      <c r="J74" s="1561">
        <v>1887190</v>
      </c>
      <c r="K74" s="1561">
        <v>21561250</v>
      </c>
      <c r="L74" s="1561">
        <v>0</v>
      </c>
      <c r="M74" s="1561">
        <v>27453105.25</v>
      </c>
      <c r="N74" s="1583">
        <f>M74</f>
        <v>27453105.25</v>
      </c>
    </row>
    <row r="75" spans="2:14">
      <c r="B75" s="1552"/>
      <c r="C75" s="1577" t="s">
        <v>1488</v>
      </c>
      <c r="D75" s="1584"/>
      <c r="E75" s="1584"/>
      <c r="F75" s="1584"/>
      <c r="G75" s="1584"/>
      <c r="H75" s="1585"/>
      <c r="I75" s="1584"/>
      <c r="J75" s="1584"/>
      <c r="K75" s="1584"/>
      <c r="L75" s="1584"/>
      <c r="M75" s="1585"/>
    </row>
    <row r="76" spans="2:14">
      <c r="B76" s="1552"/>
      <c r="C76" s="1586" t="s">
        <v>841</v>
      </c>
      <c r="D76" s="1584"/>
      <c r="E76" s="1584"/>
      <c r="F76" s="1584"/>
      <c r="G76" s="1587">
        <v>1231500</v>
      </c>
      <c r="H76" s="1556">
        <v>1231500</v>
      </c>
      <c r="I76" s="1584"/>
      <c r="J76" s="1584"/>
      <c r="K76" s="1550">
        <v>615750</v>
      </c>
      <c r="L76" s="1588"/>
      <c r="M76" s="1556">
        <v>615750</v>
      </c>
    </row>
    <row r="77" spans="2:14">
      <c r="B77" s="1552"/>
      <c r="C77" s="1586" t="s">
        <v>842</v>
      </c>
      <c r="D77" s="1584"/>
      <c r="E77" s="1584"/>
      <c r="F77" s="1584"/>
      <c r="G77" s="1587">
        <v>209200</v>
      </c>
      <c r="H77" s="1556">
        <v>209200</v>
      </c>
      <c r="I77" s="1584"/>
      <c r="J77" s="1584"/>
      <c r="K77" s="1550">
        <v>104600</v>
      </c>
      <c r="L77" s="1588"/>
      <c r="M77" s="1556">
        <v>104600</v>
      </c>
    </row>
    <row r="78" spans="2:14">
      <c r="B78" s="1552"/>
      <c r="C78" s="1586" t="s">
        <v>843</v>
      </c>
      <c r="D78" s="1584"/>
      <c r="E78" s="1584"/>
      <c r="F78" s="1584"/>
      <c r="G78" s="1587">
        <v>793200</v>
      </c>
      <c r="H78" s="1556">
        <v>793200</v>
      </c>
      <c r="I78" s="1584"/>
      <c r="J78" s="1584"/>
      <c r="K78" s="1550">
        <v>396600</v>
      </c>
      <c r="L78" s="1588"/>
      <c r="M78" s="1556">
        <v>396600</v>
      </c>
    </row>
    <row r="79" spans="2:14">
      <c r="B79" s="1552"/>
      <c r="C79" s="1586" t="s">
        <v>844</v>
      </c>
      <c r="D79" s="1584"/>
      <c r="E79" s="1584"/>
      <c r="F79" s="1584"/>
      <c r="G79" s="1587">
        <v>3744400</v>
      </c>
      <c r="H79" s="1556">
        <v>3744400</v>
      </c>
      <c r="I79" s="1584"/>
      <c r="J79" s="1584"/>
      <c r="K79" s="1550">
        <v>1872200</v>
      </c>
      <c r="L79" s="1588"/>
      <c r="M79" s="1556">
        <v>1872200</v>
      </c>
    </row>
    <row r="80" spans="2:14">
      <c r="B80" s="1552"/>
      <c r="C80" s="1586" t="s">
        <v>845</v>
      </c>
      <c r="D80" s="1584"/>
      <c r="E80" s="1584"/>
      <c r="F80" s="1584"/>
      <c r="G80" s="1587">
        <v>10218100</v>
      </c>
      <c r="H80" s="1556">
        <v>10218100</v>
      </c>
      <c r="I80" s="1584"/>
      <c r="J80" s="1584"/>
      <c r="K80" s="1550">
        <v>5109050</v>
      </c>
      <c r="L80" s="1588"/>
      <c r="M80" s="1556">
        <v>5109050</v>
      </c>
    </row>
    <row r="81" spans="2:13">
      <c r="B81" s="1552"/>
      <c r="C81" s="1586" t="s">
        <v>846</v>
      </c>
      <c r="D81" s="1584"/>
      <c r="E81" s="1584"/>
      <c r="F81" s="1584"/>
      <c r="G81" s="1587">
        <v>825600</v>
      </c>
      <c r="H81" s="1556">
        <v>825600</v>
      </c>
      <c r="I81" s="1584"/>
      <c r="J81" s="1584"/>
      <c r="K81" s="1550">
        <v>412800</v>
      </c>
      <c r="L81" s="1588"/>
      <c r="M81" s="1556">
        <v>412800</v>
      </c>
    </row>
    <row r="82" spans="2:13">
      <c r="B82" s="1552"/>
      <c r="C82" s="1586" t="s">
        <v>1489</v>
      </c>
      <c r="D82" s="1584"/>
      <c r="E82" s="1584"/>
      <c r="F82" s="1584"/>
      <c r="G82" s="1587">
        <v>5539600</v>
      </c>
      <c r="H82" s="1556">
        <v>5539600</v>
      </c>
      <c r="I82" s="1584"/>
      <c r="J82" s="1584"/>
      <c r="K82" s="1550">
        <v>2769800</v>
      </c>
      <c r="L82" s="1588"/>
      <c r="M82" s="1556">
        <v>2769800</v>
      </c>
    </row>
    <row r="83" spans="2:13">
      <c r="B83" s="1552"/>
      <c r="C83" s="1586" t="s">
        <v>848</v>
      </c>
      <c r="D83" s="1584"/>
      <c r="E83" s="1584"/>
      <c r="F83" s="1584"/>
      <c r="G83" s="1587">
        <v>68800</v>
      </c>
      <c r="H83" s="1556">
        <v>68800</v>
      </c>
      <c r="I83" s="1584"/>
      <c r="J83" s="1584"/>
      <c r="K83" s="1550">
        <v>34400</v>
      </c>
      <c r="L83" s="1588"/>
      <c r="M83" s="1556">
        <v>34400</v>
      </c>
    </row>
    <row r="84" spans="2:13">
      <c r="B84" s="1552"/>
      <c r="C84" s="1589" t="s">
        <v>1490</v>
      </c>
      <c r="D84" s="1584"/>
      <c r="E84" s="1584"/>
      <c r="F84" s="1584"/>
      <c r="G84" s="1584"/>
      <c r="H84" s="1585"/>
      <c r="I84" s="1584"/>
      <c r="J84" s="1584"/>
      <c r="K84" s="1584"/>
      <c r="L84" s="1584"/>
      <c r="M84" s="1585"/>
    </row>
    <row r="85" spans="2:13">
      <c r="B85" s="1552"/>
      <c r="C85" s="1586" t="s">
        <v>850</v>
      </c>
      <c r="D85" s="1584"/>
      <c r="E85" s="1584"/>
      <c r="F85" s="1587">
        <v>320500</v>
      </c>
      <c r="G85" s="1584"/>
      <c r="H85" s="1556">
        <v>320500</v>
      </c>
      <c r="I85" s="1584"/>
      <c r="J85" s="1584"/>
      <c r="K85" s="1588">
        <v>160250</v>
      </c>
      <c r="L85" s="1584"/>
      <c r="M85" s="1556">
        <v>160250</v>
      </c>
    </row>
    <row r="86" spans="2:13">
      <c r="B86" s="1552"/>
      <c r="C86" s="1586" t="s">
        <v>1491</v>
      </c>
      <c r="D86" s="1584"/>
      <c r="E86" s="1584"/>
      <c r="F86" s="1587">
        <v>242000</v>
      </c>
      <c r="G86" s="1584"/>
      <c r="H86" s="1556">
        <v>242000</v>
      </c>
      <c r="I86" s="1584"/>
      <c r="J86" s="1584"/>
      <c r="K86" s="1588">
        <v>121000</v>
      </c>
      <c r="L86" s="1584"/>
      <c r="M86" s="1556">
        <v>121000</v>
      </c>
    </row>
    <row r="87" spans="2:13">
      <c r="B87" s="1552"/>
      <c r="C87" s="1586" t="s">
        <v>852</v>
      </c>
      <c r="D87" s="1584"/>
      <c r="E87" s="1584"/>
      <c r="F87" s="1587">
        <v>810000</v>
      </c>
      <c r="G87" s="1584"/>
      <c r="H87" s="1556">
        <v>810000</v>
      </c>
      <c r="I87" s="1584"/>
      <c r="J87" s="1584"/>
      <c r="K87" s="1588">
        <v>405000</v>
      </c>
      <c r="L87" s="1584"/>
      <c r="M87" s="1556">
        <v>405000</v>
      </c>
    </row>
    <row r="88" spans="2:13">
      <c r="B88" s="1552"/>
      <c r="C88" s="1586" t="s">
        <v>853</v>
      </c>
      <c r="D88" s="1584"/>
      <c r="E88" s="1584"/>
      <c r="F88" s="1590">
        <v>13202000</v>
      </c>
      <c r="G88" s="1584"/>
      <c r="H88" s="1556">
        <v>13202000</v>
      </c>
      <c r="I88" s="1584"/>
      <c r="J88" s="1584"/>
      <c r="K88" s="1588">
        <v>6601000</v>
      </c>
      <c r="L88" s="1584"/>
      <c r="M88" s="1556">
        <v>6601000</v>
      </c>
    </row>
    <row r="89" spans="2:13">
      <c r="B89" s="1552"/>
      <c r="C89" s="1586" t="s">
        <v>854</v>
      </c>
      <c r="D89" s="1584"/>
      <c r="E89" s="1584"/>
      <c r="F89" s="1587">
        <v>4082400</v>
      </c>
      <c r="G89" s="1584"/>
      <c r="H89" s="1556">
        <v>4082400</v>
      </c>
      <c r="I89" s="1584"/>
      <c r="J89" s="1584"/>
      <c r="K89" s="1588">
        <v>2041200</v>
      </c>
      <c r="L89" s="1584"/>
      <c r="M89" s="1556">
        <v>2041200</v>
      </c>
    </row>
    <row r="90" spans="2:13">
      <c r="B90" s="1552"/>
      <c r="C90" s="1586" t="s">
        <v>856</v>
      </c>
      <c r="D90" s="1584"/>
      <c r="E90" s="1584"/>
      <c r="F90" s="1587">
        <v>1085000</v>
      </c>
      <c r="G90" s="1584"/>
      <c r="H90" s="1556">
        <v>1085000</v>
      </c>
      <c r="I90" s="1584"/>
      <c r="J90" s="1584"/>
      <c r="K90" s="1588">
        <v>542500</v>
      </c>
      <c r="L90" s="1584"/>
      <c r="M90" s="1556">
        <v>542500</v>
      </c>
    </row>
    <row r="91" spans="2:13">
      <c r="B91" s="1552"/>
      <c r="C91" s="1586" t="s">
        <v>858</v>
      </c>
      <c r="D91" s="1584"/>
      <c r="E91" s="1584"/>
      <c r="F91" s="1587">
        <v>698200</v>
      </c>
      <c r="G91" s="1584"/>
      <c r="H91" s="1556">
        <v>698200</v>
      </c>
      <c r="I91" s="1584"/>
      <c r="J91" s="1584"/>
      <c r="K91" s="1588">
        <v>349100</v>
      </c>
      <c r="L91" s="1584"/>
      <c r="M91" s="1556">
        <v>349100</v>
      </c>
    </row>
    <row r="92" spans="2:13">
      <c r="B92" s="1552"/>
      <c r="C92" s="1589" t="s">
        <v>838</v>
      </c>
      <c r="D92" s="1584"/>
      <c r="E92" s="1584"/>
      <c r="F92" s="1584"/>
      <c r="G92" s="1584"/>
      <c r="H92" s="1585"/>
      <c r="I92" s="1584"/>
      <c r="J92" s="1584"/>
      <c r="K92" s="1584"/>
      <c r="L92" s="1584"/>
      <c r="M92" s="1585"/>
    </row>
    <row r="93" spans="2:13">
      <c r="B93" s="1552"/>
      <c r="C93" s="1591" t="s">
        <v>860</v>
      </c>
      <c r="D93" s="1584"/>
      <c r="E93" s="1592">
        <v>9013400</v>
      </c>
      <c r="F93" s="1584"/>
      <c r="G93" s="1584"/>
      <c r="H93" s="1556">
        <v>9013400</v>
      </c>
      <c r="I93" s="1550"/>
      <c r="J93" s="1550">
        <v>901340</v>
      </c>
      <c r="K93" s="1550"/>
      <c r="L93" s="1550"/>
      <c r="M93" s="1556">
        <v>901340</v>
      </c>
    </row>
    <row r="94" spans="2:13">
      <c r="B94" s="1552"/>
      <c r="C94" s="1591" t="s">
        <v>862</v>
      </c>
      <c r="D94" s="1584"/>
      <c r="E94" s="1592">
        <v>4626000</v>
      </c>
      <c r="F94" s="1584"/>
      <c r="G94" s="1584"/>
      <c r="H94" s="1556">
        <v>4626000</v>
      </c>
      <c r="I94" s="1550"/>
      <c r="J94" s="1550">
        <v>462600</v>
      </c>
      <c r="K94" s="1550"/>
      <c r="L94" s="1550"/>
      <c r="M94" s="1556">
        <v>462600</v>
      </c>
    </row>
    <row r="95" spans="2:13">
      <c r="B95" s="1552"/>
      <c r="C95" s="1591" t="s">
        <v>863</v>
      </c>
      <c r="D95" s="1584"/>
      <c r="E95" s="1592">
        <v>2323400</v>
      </c>
      <c r="F95" s="1584"/>
      <c r="G95" s="1584"/>
      <c r="H95" s="1556">
        <v>2323400</v>
      </c>
      <c r="I95" s="1550"/>
      <c r="J95" s="1550">
        <v>232340</v>
      </c>
      <c r="K95" s="1550"/>
      <c r="L95" s="1550"/>
      <c r="M95" s="1556">
        <v>232340</v>
      </c>
    </row>
    <row r="96" spans="2:13">
      <c r="B96" s="1552"/>
      <c r="C96" s="1591" t="s">
        <v>865</v>
      </c>
      <c r="D96" s="1584"/>
      <c r="E96" s="1592">
        <v>2774100</v>
      </c>
      <c r="F96" s="1584"/>
      <c r="G96" s="1584"/>
      <c r="H96" s="1556">
        <v>2774100</v>
      </c>
      <c r="I96" s="1550"/>
      <c r="J96" s="1550">
        <v>277410</v>
      </c>
      <c r="K96" s="1550"/>
      <c r="L96" s="1550"/>
      <c r="M96" s="1556">
        <v>277410</v>
      </c>
    </row>
    <row r="97" spans="2:14">
      <c r="B97" s="1552"/>
      <c r="C97" s="1591" t="s">
        <v>867</v>
      </c>
      <c r="D97" s="1584"/>
      <c r="E97" s="1592">
        <v>135000</v>
      </c>
      <c r="F97" s="1584"/>
      <c r="G97" s="1584"/>
      <c r="H97" s="1556">
        <v>135000</v>
      </c>
      <c r="I97" s="1550"/>
      <c r="J97" s="1550">
        <v>13500</v>
      </c>
      <c r="K97" s="1550"/>
      <c r="L97" s="1550"/>
      <c r="M97" s="1556">
        <v>13500</v>
      </c>
    </row>
    <row r="98" spans="2:14">
      <c r="B98" s="1552"/>
      <c r="C98" s="1589" t="s">
        <v>1492</v>
      </c>
      <c r="D98" s="1584"/>
      <c r="E98" s="1584"/>
      <c r="F98" s="1584"/>
      <c r="G98" s="1584"/>
      <c r="H98" s="1585"/>
      <c r="I98" s="1550"/>
      <c r="J98" s="1550"/>
      <c r="K98" s="1550"/>
      <c r="L98" s="1550"/>
      <c r="M98" s="1585"/>
    </row>
    <row r="99" spans="2:14">
      <c r="B99" s="1552"/>
      <c r="C99" s="1593" t="s">
        <v>880</v>
      </c>
      <c r="D99" s="1594">
        <v>719300</v>
      </c>
      <c r="E99" s="1584"/>
      <c r="F99" s="1584"/>
      <c r="G99" s="1584"/>
      <c r="H99" s="1556">
        <v>719300</v>
      </c>
      <c r="I99" s="1550">
        <v>3596.5</v>
      </c>
      <c r="J99" s="1550"/>
      <c r="K99" s="1550"/>
      <c r="L99" s="1550"/>
      <c r="M99" s="1556">
        <v>3596.5</v>
      </c>
    </row>
    <row r="100" spans="2:14">
      <c r="B100" s="1552"/>
      <c r="C100" s="1593" t="s">
        <v>882</v>
      </c>
      <c r="D100" s="1594">
        <v>5311000</v>
      </c>
      <c r="E100" s="1584"/>
      <c r="F100" s="1584"/>
      <c r="G100" s="1584"/>
      <c r="H100" s="1556">
        <v>5311000</v>
      </c>
      <c r="I100" s="1550">
        <v>26555</v>
      </c>
      <c r="J100" s="1550"/>
      <c r="K100" s="1550"/>
      <c r="L100" s="1550"/>
      <c r="M100" s="1556">
        <v>26555</v>
      </c>
    </row>
    <row r="101" spans="2:14">
      <c r="B101" s="1552"/>
      <c r="C101" s="1593" t="s">
        <v>884</v>
      </c>
      <c r="D101" s="1594">
        <v>261000</v>
      </c>
      <c r="E101" s="1584"/>
      <c r="F101" s="1584"/>
      <c r="G101" s="1584"/>
      <c r="H101" s="1556">
        <v>261000</v>
      </c>
      <c r="I101" s="1550">
        <v>1305</v>
      </c>
      <c r="J101" s="1550"/>
      <c r="K101" s="1550"/>
      <c r="L101" s="1550"/>
      <c r="M101" s="1556">
        <v>1305</v>
      </c>
    </row>
    <row r="102" spans="2:14">
      <c r="B102" s="1552"/>
      <c r="C102" s="1593" t="s">
        <v>885</v>
      </c>
      <c r="D102" s="1594">
        <v>1324000</v>
      </c>
      <c r="E102" s="1584"/>
      <c r="F102" s="1584"/>
      <c r="G102" s="1584"/>
      <c r="H102" s="1556">
        <v>1324000</v>
      </c>
      <c r="I102" s="1550">
        <v>6620</v>
      </c>
      <c r="J102" s="1550"/>
      <c r="K102" s="1550"/>
      <c r="L102" s="1550"/>
      <c r="M102" s="1556">
        <v>6620</v>
      </c>
    </row>
    <row r="103" spans="2:14">
      <c r="B103" s="1552"/>
      <c r="C103" s="1593" t="s">
        <v>886</v>
      </c>
      <c r="D103" s="1594">
        <v>2029700</v>
      </c>
      <c r="E103" s="1584"/>
      <c r="F103" s="1584"/>
      <c r="G103" s="1584"/>
      <c r="H103" s="1556">
        <v>2029700</v>
      </c>
      <c r="I103" s="1550">
        <v>10148.5</v>
      </c>
      <c r="J103" s="1550"/>
      <c r="K103" s="1550"/>
      <c r="L103" s="1550"/>
      <c r="M103" s="1556">
        <v>10148.5</v>
      </c>
    </row>
    <row r="104" spans="2:14">
      <c r="B104" s="1552"/>
      <c r="C104" s="1593" t="s">
        <v>1493</v>
      </c>
      <c r="D104" s="1594">
        <v>166500</v>
      </c>
      <c r="E104" s="1584"/>
      <c r="F104" s="1584"/>
      <c r="G104" s="1584"/>
      <c r="H104" s="1556">
        <v>166500</v>
      </c>
      <c r="I104" s="1550">
        <v>832.5</v>
      </c>
      <c r="J104" s="1550"/>
      <c r="K104" s="1550"/>
      <c r="L104" s="1550"/>
      <c r="M104" s="1556">
        <v>832.5</v>
      </c>
    </row>
    <row r="105" spans="2:14">
      <c r="B105" s="1552"/>
      <c r="C105" s="1593" t="s">
        <v>890</v>
      </c>
      <c r="D105" s="1594">
        <v>8917150</v>
      </c>
      <c r="E105" s="1584"/>
      <c r="F105" s="1584"/>
      <c r="G105" s="1584"/>
      <c r="H105" s="1556">
        <v>8917150</v>
      </c>
      <c r="I105" s="1550">
        <v>44585.75</v>
      </c>
      <c r="J105" s="1550"/>
      <c r="K105" s="1550"/>
      <c r="L105" s="1550"/>
      <c r="M105" s="1556">
        <v>44585.75</v>
      </c>
    </row>
    <row r="106" spans="2:14" ht="12.75">
      <c r="B106" s="1552"/>
      <c r="C106" s="1593" t="s">
        <v>891</v>
      </c>
      <c r="D106" s="1594">
        <v>113500</v>
      </c>
      <c r="E106" s="1584"/>
      <c r="F106" s="1584"/>
      <c r="G106" s="1584"/>
      <c r="H106" s="1556">
        <v>113500</v>
      </c>
      <c r="I106" s="1550">
        <v>567.5</v>
      </c>
      <c r="J106" s="1550"/>
      <c r="K106" s="1550"/>
      <c r="L106" s="1550"/>
      <c r="M106" s="1556">
        <v>567.5</v>
      </c>
      <c r="N106" s="1540"/>
    </row>
    <row r="107" spans="2:14" ht="12.75">
      <c r="B107" s="1552"/>
      <c r="C107" s="1593" t="s">
        <v>893</v>
      </c>
      <c r="D107" s="1594">
        <v>1502000</v>
      </c>
      <c r="E107" s="1584"/>
      <c r="F107" s="1584"/>
      <c r="G107" s="1584"/>
      <c r="H107" s="1556">
        <v>1502000</v>
      </c>
      <c r="I107" s="1550">
        <v>7510</v>
      </c>
      <c r="J107" s="1550"/>
      <c r="K107" s="1550"/>
      <c r="L107" s="1550"/>
      <c r="M107" s="1556">
        <v>7510</v>
      </c>
      <c r="N107" s="1540"/>
    </row>
    <row r="108" spans="2:14" ht="12.75">
      <c r="B108" s="1552"/>
      <c r="C108" s="1593" t="s">
        <v>894</v>
      </c>
      <c r="D108" s="1594">
        <v>1140700</v>
      </c>
      <c r="E108" s="1584"/>
      <c r="F108" s="1584"/>
      <c r="G108" s="1584"/>
      <c r="H108" s="1556">
        <v>1140700</v>
      </c>
      <c r="I108" s="1550">
        <v>5703.5</v>
      </c>
      <c r="J108" s="1550"/>
      <c r="K108" s="1550"/>
      <c r="L108" s="1550"/>
      <c r="M108" s="1556">
        <v>5703.5</v>
      </c>
      <c r="N108" s="1540"/>
    </row>
    <row r="109" spans="2:14" ht="12.75">
      <c r="B109" s="1552"/>
      <c r="C109" s="1593" t="s">
        <v>896</v>
      </c>
      <c r="D109" s="1594">
        <v>2059000</v>
      </c>
      <c r="E109" s="1584"/>
      <c r="F109" s="1584"/>
      <c r="G109" s="1584"/>
      <c r="H109" s="1556">
        <v>2059000</v>
      </c>
      <c r="I109" s="1550">
        <v>10295</v>
      </c>
      <c r="J109" s="1550"/>
      <c r="K109" s="1550"/>
      <c r="L109" s="1550"/>
      <c r="M109" s="1556">
        <v>10295</v>
      </c>
      <c r="N109" s="1540"/>
    </row>
    <row r="110" spans="2:14" ht="12.75">
      <c r="B110" s="1552"/>
      <c r="C110" s="1593" t="s">
        <v>898</v>
      </c>
      <c r="D110" s="1594">
        <v>404000</v>
      </c>
      <c r="E110" s="1584"/>
      <c r="F110" s="1584"/>
      <c r="G110" s="1584"/>
      <c r="H110" s="1556">
        <v>404000</v>
      </c>
      <c r="I110" s="1550">
        <v>2020</v>
      </c>
      <c r="J110" s="1550"/>
      <c r="K110" s="1550"/>
      <c r="L110" s="1550"/>
      <c r="M110" s="1556">
        <v>2020</v>
      </c>
      <c r="N110" s="1540"/>
    </row>
    <row r="111" spans="2:14" ht="12.75">
      <c r="B111" s="1552"/>
      <c r="C111" s="1593" t="s">
        <v>899</v>
      </c>
      <c r="D111" s="1594">
        <v>357500</v>
      </c>
      <c r="E111" s="1584"/>
      <c r="F111" s="1584"/>
      <c r="G111" s="1584"/>
      <c r="H111" s="1556">
        <v>357500</v>
      </c>
      <c r="I111" s="1550">
        <v>1787.5</v>
      </c>
      <c r="J111" s="1550"/>
      <c r="K111" s="1550"/>
      <c r="L111" s="1550"/>
      <c r="M111" s="1556">
        <v>1787.5</v>
      </c>
      <c r="N111" s="1540"/>
    </row>
    <row r="112" spans="2:14" ht="12.75">
      <c r="B112" s="1552"/>
      <c r="C112" s="1593" t="s">
        <v>900</v>
      </c>
      <c r="D112" s="1594">
        <v>1458200</v>
      </c>
      <c r="E112" s="1584"/>
      <c r="F112" s="1584"/>
      <c r="G112" s="1584"/>
      <c r="H112" s="1556">
        <v>1458200</v>
      </c>
      <c r="I112" s="1550">
        <v>7291</v>
      </c>
      <c r="J112" s="1550"/>
      <c r="K112" s="1550"/>
      <c r="L112" s="1550"/>
      <c r="M112" s="1556">
        <v>7291</v>
      </c>
      <c r="N112" s="1540"/>
    </row>
    <row r="113" spans="2:14" ht="12.75">
      <c r="B113" s="1552"/>
      <c r="C113" s="1589" t="s">
        <v>1494</v>
      </c>
      <c r="D113" s="1584"/>
      <c r="E113" s="1584"/>
      <c r="F113" s="1584"/>
      <c r="G113" s="1584"/>
      <c r="H113" s="1585"/>
      <c r="I113" s="1550"/>
      <c r="J113" s="1550"/>
      <c r="K113" s="1550"/>
      <c r="L113" s="1550"/>
      <c r="M113" s="1585"/>
      <c r="N113" s="1540"/>
    </row>
    <row r="114" spans="2:14" ht="12.75">
      <c r="B114" s="1552"/>
      <c r="C114" s="1586" t="s">
        <v>1495</v>
      </c>
      <c r="D114" s="1584"/>
      <c r="E114" s="1584"/>
      <c r="F114" s="1584"/>
      <c r="G114" s="1595">
        <v>52000</v>
      </c>
      <c r="H114" s="1556">
        <v>52000</v>
      </c>
      <c r="I114" s="1550"/>
      <c r="J114" s="1550"/>
      <c r="K114" s="1550">
        <v>26000</v>
      </c>
      <c r="L114" s="1595"/>
      <c r="M114" s="1556">
        <v>26000</v>
      </c>
      <c r="N114" s="1540"/>
    </row>
    <row r="115" spans="2:14" ht="12.75">
      <c r="B115" s="1552"/>
      <c r="C115" s="1589" t="s">
        <v>806</v>
      </c>
      <c r="D115" s="1584"/>
      <c r="E115" s="1584"/>
      <c r="F115" s="1584"/>
      <c r="G115" s="1584"/>
      <c r="H115" s="1585"/>
      <c r="I115" s="1550"/>
      <c r="J115" s="1550"/>
      <c r="K115" s="1550"/>
      <c r="L115" s="1550"/>
      <c r="M115" s="1585"/>
      <c r="N115" s="1540"/>
    </row>
    <row r="116" spans="2:14" ht="12.75">
      <c r="B116" s="1552"/>
      <c r="C116" s="1596" t="s">
        <v>902</v>
      </c>
      <c r="D116" s="1597">
        <v>388310000</v>
      </c>
      <c r="E116" s="1584"/>
      <c r="F116" s="1584"/>
      <c r="G116" s="1584"/>
      <c r="H116" s="1556">
        <v>388310000</v>
      </c>
      <c r="I116" s="1550">
        <v>1941550</v>
      </c>
      <c r="J116" s="1550"/>
      <c r="K116" s="1550"/>
      <c r="L116" s="1550"/>
      <c r="M116" s="1556">
        <v>1941550</v>
      </c>
      <c r="N116" s="1540"/>
    </row>
    <row r="117" spans="2:14" ht="12.75">
      <c r="B117" s="1552"/>
      <c r="C117" s="1596" t="s">
        <v>903</v>
      </c>
      <c r="D117" s="1597">
        <v>344858000</v>
      </c>
      <c r="E117" s="1584"/>
      <c r="F117" s="1584"/>
      <c r="G117" s="1584"/>
      <c r="H117" s="1556">
        <v>344858000</v>
      </c>
      <c r="I117" s="1550">
        <v>1724290</v>
      </c>
      <c r="J117" s="1550"/>
      <c r="K117" s="1550"/>
      <c r="L117" s="1550"/>
      <c r="M117" s="1556">
        <v>1724290</v>
      </c>
      <c r="N117" s="1540"/>
    </row>
    <row r="118" spans="2:14" ht="12.75">
      <c r="B118" s="1552"/>
      <c r="C118" s="1589" t="s">
        <v>1496</v>
      </c>
      <c r="D118" s="1591"/>
      <c r="E118" s="1584"/>
      <c r="F118" s="1584"/>
      <c r="G118" s="1584"/>
      <c r="H118" s="1585"/>
      <c r="I118" s="1550"/>
      <c r="J118" s="1550"/>
      <c r="K118" s="1550"/>
      <c r="L118" s="1550"/>
      <c r="M118" s="1585"/>
      <c r="N118" s="1540"/>
    </row>
    <row r="119" spans="2:14" ht="22.5">
      <c r="B119" s="1552"/>
      <c r="C119" s="1598" t="s">
        <v>1497</v>
      </c>
      <c r="D119" s="1599">
        <v>42001500</v>
      </c>
      <c r="E119" s="1584"/>
      <c r="F119" s="1584"/>
      <c r="G119" s="1584"/>
      <c r="H119" s="1556">
        <v>42001500</v>
      </c>
      <c r="I119" s="1550">
        <v>210007.5</v>
      </c>
      <c r="J119" s="1550"/>
      <c r="K119" s="1550"/>
      <c r="L119" s="1550"/>
      <c r="M119" s="1556">
        <v>210007.5</v>
      </c>
      <c r="N119" s="1600"/>
    </row>
    <row r="120" spans="2:14" ht="12.75">
      <c r="B120" s="1601"/>
      <c r="C120" s="1602"/>
      <c r="D120" s="1550"/>
      <c r="E120" s="1550"/>
      <c r="F120" s="1550"/>
      <c r="G120" s="1550"/>
      <c r="H120" s="1551"/>
      <c r="I120" s="1550"/>
      <c r="J120" s="1550"/>
      <c r="K120" s="1550"/>
      <c r="L120" s="1550"/>
      <c r="M120" s="1551"/>
      <c r="N120" s="1540"/>
    </row>
    <row r="121" spans="2:14" ht="12.75">
      <c r="B121" s="2056" t="s">
        <v>2728</v>
      </c>
      <c r="C121" s="2057"/>
      <c r="D121" s="1603">
        <v>2269705782.73</v>
      </c>
      <c r="E121" s="1603">
        <v>44987057.530000001</v>
      </c>
      <c r="F121" s="1603">
        <v>21398100</v>
      </c>
      <c r="G121" s="1603">
        <v>22682400</v>
      </c>
      <c r="H121" s="1603">
        <v>2358773340.2600002</v>
      </c>
      <c r="I121" s="1603">
        <v>11168934.41365</v>
      </c>
      <c r="J121" s="1603">
        <v>8090595.7530000005</v>
      </c>
      <c r="K121" s="1603">
        <v>22040250</v>
      </c>
      <c r="L121" s="1603">
        <v>0</v>
      </c>
      <c r="M121" s="1603">
        <v>41299780.166649997</v>
      </c>
      <c r="N121" s="1604"/>
    </row>
    <row r="122" spans="2:14" ht="12.75">
      <c r="B122" s="1605"/>
      <c r="C122" s="1605"/>
      <c r="D122" s="1606"/>
      <c r="E122" s="1606"/>
      <c r="F122" s="1606"/>
      <c r="G122" s="1606"/>
      <c r="H122" s="1606"/>
      <c r="I122" s="1606"/>
      <c r="J122" s="1606"/>
      <c r="K122" s="1606"/>
      <c r="L122" s="1606"/>
      <c r="M122" s="1606"/>
      <c r="N122" s="1540"/>
    </row>
    <row r="123" spans="2:14" ht="12.75">
      <c r="B123" s="2058" t="s">
        <v>1498</v>
      </c>
      <c r="C123" s="2058"/>
      <c r="D123" s="2058"/>
      <c r="E123" s="2058"/>
      <c r="F123" s="2058"/>
      <c r="G123" s="2058"/>
      <c r="H123" s="2058"/>
      <c r="I123" s="2058"/>
      <c r="J123" s="2058"/>
      <c r="K123" s="2058"/>
      <c r="L123" s="2058"/>
      <c r="M123" s="2058"/>
      <c r="N123" s="1540"/>
    </row>
    <row r="124" spans="2:14" ht="12.75">
      <c r="B124" s="2058" t="s">
        <v>768</v>
      </c>
      <c r="C124" s="2058"/>
      <c r="D124" s="2058"/>
      <c r="E124" s="2058"/>
      <c r="F124" s="2058"/>
      <c r="G124" s="2058"/>
      <c r="H124" s="2058"/>
      <c r="I124" s="2058"/>
      <c r="J124" s="2058"/>
      <c r="K124" s="2058"/>
      <c r="L124" s="2058"/>
      <c r="M124" s="2058"/>
      <c r="N124" s="1540"/>
    </row>
    <row r="126" spans="2:14" ht="12.75">
      <c r="B126" s="2059" t="s">
        <v>1466</v>
      </c>
      <c r="C126" s="2059" t="s">
        <v>114</v>
      </c>
      <c r="D126" s="2060" t="s">
        <v>1467</v>
      </c>
      <c r="E126" s="2061"/>
      <c r="F126" s="2061"/>
      <c r="G126" s="2061"/>
      <c r="H126" s="2062"/>
      <c r="I126" s="2060" t="s">
        <v>1468</v>
      </c>
      <c r="J126" s="2061"/>
      <c r="K126" s="2061"/>
      <c r="L126" s="2061"/>
      <c r="M126" s="2062"/>
      <c r="N126" s="1540"/>
    </row>
    <row r="127" spans="2:14" ht="22.5">
      <c r="B127" s="2059"/>
      <c r="C127" s="2059"/>
      <c r="D127" s="1607" t="s">
        <v>1469</v>
      </c>
      <c r="E127" s="1608" t="s">
        <v>1470</v>
      </c>
      <c r="F127" s="1608" t="s">
        <v>1471</v>
      </c>
      <c r="G127" s="1607" t="s">
        <v>1472</v>
      </c>
      <c r="H127" s="1609" t="s">
        <v>9</v>
      </c>
      <c r="I127" s="1610">
        <v>5.0000000000000001E-3</v>
      </c>
      <c r="J127" s="1611">
        <v>0.1</v>
      </c>
      <c r="K127" s="1611">
        <v>0.5</v>
      </c>
      <c r="L127" s="1611">
        <v>1</v>
      </c>
      <c r="M127" s="1609" t="s">
        <v>9</v>
      </c>
      <c r="N127" s="1540"/>
    </row>
    <row r="128" spans="2:14" ht="12.75">
      <c r="B128" s="1612"/>
      <c r="C128" s="1613"/>
      <c r="D128" s="1614"/>
      <c r="E128" s="1614"/>
      <c r="F128" s="1614"/>
      <c r="G128" s="1614"/>
      <c r="H128" s="1615"/>
      <c r="I128" s="1614"/>
      <c r="J128" s="1614"/>
      <c r="K128" s="1614"/>
      <c r="L128" s="1614"/>
      <c r="M128" s="1613"/>
      <c r="N128" s="1540"/>
    </row>
    <row r="129" spans="2:14" ht="12.75">
      <c r="B129" s="2050" t="s">
        <v>1499</v>
      </c>
      <c r="C129" s="2051"/>
      <c r="D129" s="1616">
        <v>1828521386.0299993</v>
      </c>
      <c r="E129" s="1616">
        <v>1729244737.02</v>
      </c>
      <c r="F129" s="1616">
        <v>0</v>
      </c>
      <c r="G129" s="1616">
        <v>2406990239.3699999</v>
      </c>
      <c r="H129" s="1616">
        <v>5964756362.4199991</v>
      </c>
      <c r="I129" s="1616">
        <v>16829747.83625</v>
      </c>
      <c r="J129" s="1616">
        <v>18611770.835000001</v>
      </c>
      <c r="K129" s="1616">
        <v>97101000</v>
      </c>
      <c r="L129" s="1616">
        <v>3093933406.4400001</v>
      </c>
      <c r="M129" s="1616">
        <v>3226475925.1112504</v>
      </c>
      <c r="N129" s="1617"/>
    </row>
    <row r="130" spans="2:14" ht="12.75">
      <c r="B130" s="1618"/>
      <c r="C130" s="1619" t="s">
        <v>1500</v>
      </c>
      <c r="D130" s="1620">
        <v>0</v>
      </c>
      <c r="E130" s="1620">
        <v>0</v>
      </c>
      <c r="F130" s="1620">
        <v>0</v>
      </c>
      <c r="G130" s="1620">
        <v>384023500</v>
      </c>
      <c r="H130" s="1620">
        <v>384023500</v>
      </c>
      <c r="I130" s="1620">
        <v>0</v>
      </c>
      <c r="J130" s="1620">
        <v>0</v>
      </c>
      <c r="K130" s="1620">
        <v>0</v>
      </c>
      <c r="L130" s="1620">
        <v>384023500</v>
      </c>
      <c r="M130" s="1620">
        <v>384023500</v>
      </c>
      <c r="N130" s="1540"/>
    </row>
    <row r="131" spans="2:14" ht="12.75">
      <c r="B131" s="1621">
        <v>1</v>
      </c>
      <c r="C131" s="1622" t="s">
        <v>177</v>
      </c>
      <c r="D131" s="1623">
        <v>0</v>
      </c>
      <c r="E131" s="1623">
        <v>0</v>
      </c>
      <c r="F131" s="1623">
        <v>0</v>
      </c>
      <c r="G131" s="1623">
        <v>318150000</v>
      </c>
      <c r="H131" s="1624">
        <v>318150000</v>
      </c>
      <c r="I131" s="1623">
        <v>0</v>
      </c>
      <c r="J131" s="1623">
        <v>0</v>
      </c>
      <c r="K131" s="1623">
        <v>0</v>
      </c>
      <c r="L131" s="1623">
        <v>318150000</v>
      </c>
      <c r="M131" s="1624">
        <v>318150000</v>
      </c>
      <c r="N131" s="1540"/>
    </row>
    <row r="132" spans="2:14" ht="12.75">
      <c r="B132" s="1621">
        <v>2</v>
      </c>
      <c r="C132" s="1622" t="s">
        <v>1501</v>
      </c>
      <c r="D132" s="1623">
        <v>0</v>
      </c>
      <c r="E132" s="1623">
        <v>0</v>
      </c>
      <c r="F132" s="1623">
        <v>0</v>
      </c>
      <c r="G132" s="1623">
        <v>65873500</v>
      </c>
      <c r="H132" s="1624">
        <v>65873500</v>
      </c>
      <c r="I132" s="1623">
        <v>0</v>
      </c>
      <c r="J132" s="1623">
        <v>0</v>
      </c>
      <c r="K132" s="1623">
        <v>0</v>
      </c>
      <c r="L132" s="1623">
        <v>65873500</v>
      </c>
      <c r="M132" s="1624">
        <v>65873500</v>
      </c>
      <c r="N132" s="1540"/>
    </row>
    <row r="133" spans="2:14">
      <c r="B133" s="1612"/>
      <c r="C133" s="1613"/>
      <c r="D133" s="1614"/>
      <c r="E133" s="1614"/>
      <c r="F133" s="1614"/>
      <c r="G133" s="1614"/>
      <c r="H133" s="1625"/>
      <c r="I133" s="1614"/>
      <c r="J133" s="1614"/>
      <c r="K133" s="1614"/>
      <c r="L133" s="1614"/>
      <c r="M133" s="1625"/>
    </row>
    <row r="134" spans="2:14">
      <c r="B134" s="1618"/>
      <c r="C134" s="1619" t="s">
        <v>1502</v>
      </c>
      <c r="D134" s="1620">
        <v>0</v>
      </c>
      <c r="E134" s="1620">
        <v>34059856</v>
      </c>
      <c r="F134" s="1620">
        <v>0</v>
      </c>
      <c r="G134" s="1620">
        <v>1072546669</v>
      </c>
      <c r="H134" s="1620">
        <v>1106606525</v>
      </c>
      <c r="I134" s="1620">
        <v>170299.28</v>
      </c>
      <c r="J134" s="1620">
        <v>0</v>
      </c>
      <c r="K134" s="1620">
        <v>0</v>
      </c>
      <c r="L134" s="1620">
        <v>1082671669</v>
      </c>
      <c r="M134" s="1620">
        <v>1082841968.28</v>
      </c>
    </row>
    <row r="135" spans="2:14" ht="67.5">
      <c r="B135" s="1626">
        <v>1</v>
      </c>
      <c r="C135" s="1627" t="s">
        <v>1503</v>
      </c>
      <c r="D135" s="1628">
        <v>0</v>
      </c>
      <c r="E135" s="1628">
        <v>0</v>
      </c>
      <c r="F135" s="1628">
        <v>0</v>
      </c>
      <c r="G135" s="1628">
        <v>506575000</v>
      </c>
      <c r="H135" s="1624">
        <v>506575000</v>
      </c>
      <c r="I135" s="1628">
        <v>0</v>
      </c>
      <c r="J135" s="1628">
        <v>0</v>
      </c>
      <c r="K135" s="1628">
        <v>0</v>
      </c>
      <c r="L135" s="1628">
        <v>506575000</v>
      </c>
      <c r="M135" s="1629">
        <v>506575000</v>
      </c>
    </row>
    <row r="136" spans="2:14">
      <c r="B136" s="1630">
        <v>2</v>
      </c>
      <c r="C136" s="1622" t="s">
        <v>177</v>
      </c>
      <c r="D136" s="1623">
        <v>0</v>
      </c>
      <c r="E136" s="1623">
        <v>0</v>
      </c>
      <c r="F136" s="1623">
        <v>0</v>
      </c>
      <c r="G136" s="1623">
        <v>565971669</v>
      </c>
      <c r="H136" s="1624">
        <v>565971669</v>
      </c>
      <c r="I136" s="1623">
        <v>0</v>
      </c>
      <c r="J136" s="1623">
        <v>0</v>
      </c>
      <c r="K136" s="1623">
        <v>0</v>
      </c>
      <c r="L136" s="1623">
        <v>565971669</v>
      </c>
      <c r="M136" s="1624">
        <v>565971669</v>
      </c>
    </row>
    <row r="137" spans="2:14">
      <c r="B137" s="1630">
        <v>3</v>
      </c>
      <c r="C137" s="1622" t="s">
        <v>1504</v>
      </c>
      <c r="D137" s="1623">
        <v>0</v>
      </c>
      <c r="E137" s="1623">
        <v>10125000</v>
      </c>
      <c r="F137" s="1623">
        <v>0</v>
      </c>
      <c r="G137" s="1631">
        <v>0</v>
      </c>
      <c r="H137" s="1624">
        <v>10125000</v>
      </c>
      <c r="I137" s="1623">
        <v>50625</v>
      </c>
      <c r="J137" s="1623">
        <v>0</v>
      </c>
      <c r="K137" s="1623">
        <v>0</v>
      </c>
      <c r="L137" s="1623">
        <v>10125000</v>
      </c>
      <c r="M137" s="1624">
        <v>10175625</v>
      </c>
    </row>
    <row r="138" spans="2:14">
      <c r="B138" s="1630">
        <v>4</v>
      </c>
      <c r="C138" s="1622" t="s">
        <v>1504</v>
      </c>
      <c r="D138" s="1623">
        <v>0</v>
      </c>
      <c r="E138" s="1623">
        <v>8305000</v>
      </c>
      <c r="F138" s="1623">
        <v>0</v>
      </c>
      <c r="G138" s="1623">
        <v>0</v>
      </c>
      <c r="H138" s="1624">
        <v>8305000</v>
      </c>
      <c r="I138" s="1623">
        <v>41525</v>
      </c>
      <c r="J138" s="1623">
        <v>0</v>
      </c>
      <c r="K138" s="1623">
        <v>0</v>
      </c>
      <c r="L138" s="1623">
        <v>0</v>
      </c>
      <c r="M138" s="1624">
        <v>41525</v>
      </c>
    </row>
    <row r="139" spans="2:14" ht="22.5">
      <c r="B139" s="1630">
        <v>5</v>
      </c>
      <c r="C139" s="1627" t="s">
        <v>1505</v>
      </c>
      <c r="D139" s="1623">
        <v>0</v>
      </c>
      <c r="E139" s="1623">
        <v>15629856</v>
      </c>
      <c r="F139" s="1623">
        <v>0</v>
      </c>
      <c r="G139" s="1623">
        <v>0</v>
      </c>
      <c r="H139" s="1624">
        <v>15629856</v>
      </c>
      <c r="I139" s="1623">
        <v>78149.279999999999</v>
      </c>
      <c r="J139" s="1623">
        <v>0</v>
      </c>
      <c r="K139" s="1623">
        <v>0</v>
      </c>
      <c r="L139" s="1623">
        <v>0</v>
      </c>
      <c r="M139" s="1624">
        <v>78149.279999999999</v>
      </c>
    </row>
    <row r="140" spans="2:14">
      <c r="B140" s="1621"/>
      <c r="C140" s="1622"/>
      <c r="D140" s="1623"/>
      <c r="E140" s="1623"/>
      <c r="F140" s="1623"/>
      <c r="G140" s="1623"/>
      <c r="H140" s="1624"/>
      <c r="I140" s="1623"/>
      <c r="J140" s="1623"/>
      <c r="K140" s="1623"/>
      <c r="L140" s="1623"/>
      <c r="M140" s="1624"/>
    </row>
    <row r="141" spans="2:14">
      <c r="B141" s="1618"/>
      <c r="C141" s="1619" t="s">
        <v>1506</v>
      </c>
      <c r="D141" s="1620">
        <v>0</v>
      </c>
      <c r="E141" s="1620">
        <v>0</v>
      </c>
      <c r="F141" s="1620">
        <v>0</v>
      </c>
      <c r="G141" s="1620">
        <v>620916543</v>
      </c>
      <c r="H141" s="1620">
        <v>620916543</v>
      </c>
      <c r="I141" s="1620">
        <v>0</v>
      </c>
      <c r="J141" s="1620">
        <v>0</v>
      </c>
      <c r="K141" s="1620">
        <v>0</v>
      </c>
      <c r="L141" s="1620">
        <v>620916543</v>
      </c>
      <c r="M141" s="1620">
        <v>620916543</v>
      </c>
    </row>
    <row r="142" spans="2:14">
      <c r="B142" s="1621">
        <v>1</v>
      </c>
      <c r="C142" s="1622" t="s">
        <v>177</v>
      </c>
      <c r="D142" s="1623">
        <v>0</v>
      </c>
      <c r="E142" s="1623">
        <v>0</v>
      </c>
      <c r="F142" s="1623">
        <v>0</v>
      </c>
      <c r="G142" s="1623">
        <v>586366543</v>
      </c>
      <c r="H142" s="1624">
        <v>586366543</v>
      </c>
      <c r="I142" s="1623">
        <v>0</v>
      </c>
      <c r="J142" s="1623">
        <v>0</v>
      </c>
      <c r="K142" s="1623">
        <v>0</v>
      </c>
      <c r="L142" s="1623">
        <v>586366543</v>
      </c>
      <c r="M142" s="1624">
        <v>586366543</v>
      </c>
    </row>
    <row r="143" spans="2:14" ht="56.25">
      <c r="B143" s="1630">
        <v>2</v>
      </c>
      <c r="C143" s="1627" t="s">
        <v>1507</v>
      </c>
      <c r="D143" s="1628">
        <v>0</v>
      </c>
      <c r="E143" s="1628">
        <v>0</v>
      </c>
      <c r="F143" s="1628">
        <v>0</v>
      </c>
      <c r="G143" s="1628">
        <v>34550000</v>
      </c>
      <c r="H143" s="1624">
        <v>34550000</v>
      </c>
      <c r="I143" s="1628">
        <v>0</v>
      </c>
      <c r="J143" s="1628">
        <v>0</v>
      </c>
      <c r="K143" s="1628">
        <v>0</v>
      </c>
      <c r="L143" s="1628">
        <v>34550000</v>
      </c>
      <c r="M143" s="1629">
        <v>34550000</v>
      </c>
    </row>
    <row r="144" spans="2:14" ht="12" thickBot="1">
      <c r="B144" s="1632"/>
      <c r="C144" s="1633"/>
      <c r="D144" s="1634"/>
      <c r="E144" s="1634"/>
      <c r="F144" s="1634"/>
      <c r="G144" s="1634"/>
      <c r="H144" s="1635"/>
      <c r="I144" s="1634"/>
      <c r="J144" s="1634"/>
      <c r="K144" s="1634"/>
      <c r="L144" s="1634"/>
      <c r="M144" s="1635"/>
    </row>
    <row r="145" spans="2:13">
      <c r="B145" s="1636"/>
      <c r="C145" s="1637" t="s">
        <v>1508</v>
      </c>
      <c r="D145" s="1638">
        <v>0</v>
      </c>
      <c r="E145" s="1638">
        <v>56397987.919999994</v>
      </c>
      <c r="F145" s="1638">
        <v>0</v>
      </c>
      <c r="G145" s="1638">
        <v>55144312.439999998</v>
      </c>
      <c r="H145" s="1638">
        <v>111542300.35999998</v>
      </c>
      <c r="I145" s="1638">
        <v>281989.93959999998</v>
      </c>
      <c r="J145" s="1638">
        <v>0</v>
      </c>
      <c r="K145" s="1638">
        <v>0</v>
      </c>
      <c r="L145" s="1638">
        <v>56368982.759999998</v>
      </c>
      <c r="M145" s="1638">
        <v>56650972.699599996</v>
      </c>
    </row>
    <row r="146" spans="2:13">
      <c r="B146" s="1630">
        <v>1</v>
      </c>
      <c r="C146" s="1622" t="s">
        <v>1509</v>
      </c>
      <c r="D146" s="1623">
        <v>0</v>
      </c>
      <c r="E146" s="1623">
        <v>0</v>
      </c>
      <c r="F146" s="1623">
        <v>0</v>
      </c>
      <c r="G146" s="1623">
        <v>23204312.439999998</v>
      </c>
      <c r="H146" s="1624">
        <v>23204312.439999998</v>
      </c>
      <c r="I146" s="1623">
        <v>0</v>
      </c>
      <c r="J146" s="1623">
        <v>0</v>
      </c>
      <c r="K146" s="1623">
        <v>0</v>
      </c>
      <c r="L146" s="1623">
        <v>23204312.439999998</v>
      </c>
      <c r="M146" s="1624">
        <v>23204312.439999998</v>
      </c>
    </row>
    <row r="147" spans="2:13" ht="22.5">
      <c r="B147" s="1630">
        <v>3</v>
      </c>
      <c r="C147" s="1627" t="s">
        <v>1510</v>
      </c>
      <c r="D147" s="1623">
        <v>0</v>
      </c>
      <c r="E147" s="1623">
        <v>0</v>
      </c>
      <c r="F147" s="1623">
        <v>0</v>
      </c>
      <c r="G147" s="1623">
        <v>31940000</v>
      </c>
      <c r="H147" s="1624">
        <v>31940000</v>
      </c>
      <c r="I147" s="1623">
        <v>0</v>
      </c>
      <c r="J147" s="1623">
        <v>0</v>
      </c>
      <c r="K147" s="1623">
        <v>0</v>
      </c>
      <c r="L147" s="1623">
        <v>31940000</v>
      </c>
      <c r="M147" s="1624">
        <v>31940000</v>
      </c>
    </row>
    <row r="148" spans="2:13">
      <c r="B148" s="1621">
        <v>4</v>
      </c>
      <c r="C148" s="1622" t="s">
        <v>1504</v>
      </c>
      <c r="D148" s="1623">
        <v>0</v>
      </c>
      <c r="E148" s="1623">
        <v>55173317.599999994</v>
      </c>
      <c r="F148" s="1623">
        <v>0</v>
      </c>
      <c r="G148" s="1623">
        <v>0</v>
      </c>
      <c r="H148" s="1624">
        <v>55173317.599999994</v>
      </c>
      <c r="I148" s="1623">
        <v>275866.58799999999</v>
      </c>
      <c r="J148" s="1623">
        <v>0</v>
      </c>
      <c r="K148" s="1623">
        <v>0</v>
      </c>
      <c r="L148" s="1623">
        <v>0</v>
      </c>
      <c r="M148" s="1624">
        <v>275866.58799999999</v>
      </c>
    </row>
    <row r="149" spans="2:13">
      <c r="B149" s="1630">
        <v>5</v>
      </c>
      <c r="C149" s="1622" t="s">
        <v>1505</v>
      </c>
      <c r="D149" s="1623">
        <v>0</v>
      </c>
      <c r="E149" s="1623">
        <v>1224670.32</v>
      </c>
      <c r="F149" s="1623">
        <v>0</v>
      </c>
      <c r="G149" s="1639">
        <v>0</v>
      </c>
      <c r="H149" s="1624">
        <v>1224670.32</v>
      </c>
      <c r="I149" s="1623">
        <v>6123.3516000000009</v>
      </c>
      <c r="J149" s="1623">
        <v>0</v>
      </c>
      <c r="K149" s="1623">
        <v>0</v>
      </c>
      <c r="L149" s="1623">
        <v>1224670.32</v>
      </c>
      <c r="M149" s="1624">
        <v>1230793.6716</v>
      </c>
    </row>
    <row r="150" spans="2:13">
      <c r="B150" s="1621"/>
      <c r="C150" s="1622"/>
      <c r="D150" s="1623"/>
      <c r="E150" s="1623"/>
      <c r="F150" s="1623"/>
      <c r="G150" s="1623"/>
      <c r="H150" s="1624"/>
      <c r="I150" s="1623"/>
      <c r="J150" s="1623"/>
      <c r="K150" s="1623"/>
      <c r="L150" s="1623"/>
      <c r="M150" s="1624"/>
    </row>
    <row r="151" spans="2:13">
      <c r="B151" s="1636"/>
      <c r="C151" s="1637" t="s">
        <v>1508</v>
      </c>
      <c r="D151" s="1638">
        <v>0</v>
      </c>
      <c r="E151" s="1638">
        <v>111819735.86</v>
      </c>
      <c r="F151" s="1638">
        <v>0</v>
      </c>
      <c r="G151" s="1638">
        <v>0</v>
      </c>
      <c r="H151" s="1638">
        <v>111819735.86</v>
      </c>
      <c r="I151" s="1638">
        <v>0</v>
      </c>
      <c r="J151" s="1638">
        <v>11181973.585999999</v>
      </c>
      <c r="K151" s="1638">
        <v>0</v>
      </c>
      <c r="L151" s="1638">
        <v>0</v>
      </c>
      <c r="M151" s="1638">
        <v>11181973.585999999</v>
      </c>
    </row>
    <row r="152" spans="2:13" ht="22.5">
      <c r="B152" s="1630">
        <v>1</v>
      </c>
      <c r="C152" s="1627" t="s">
        <v>1511</v>
      </c>
      <c r="D152" s="1623">
        <v>0</v>
      </c>
      <c r="E152" s="1623">
        <v>38842259</v>
      </c>
      <c r="F152" s="1623">
        <v>0</v>
      </c>
      <c r="G152" s="1623">
        <v>0</v>
      </c>
      <c r="H152" s="1624">
        <v>38842259</v>
      </c>
      <c r="I152" s="1623">
        <v>0</v>
      </c>
      <c r="J152" s="1623">
        <v>3884225.9000000004</v>
      </c>
      <c r="K152" s="1623">
        <v>0</v>
      </c>
      <c r="L152" s="1623">
        <v>0</v>
      </c>
      <c r="M152" s="1624">
        <v>3884225.9000000004</v>
      </c>
    </row>
    <row r="153" spans="2:13" ht="22.5">
      <c r="B153" s="1621">
        <v>2</v>
      </c>
      <c r="C153" s="1627" t="s">
        <v>1505</v>
      </c>
      <c r="D153" s="1623">
        <v>0</v>
      </c>
      <c r="E153" s="1623">
        <v>5188234.6499999994</v>
      </c>
      <c r="F153" s="1623">
        <v>0</v>
      </c>
      <c r="G153" s="1623">
        <v>0</v>
      </c>
      <c r="H153" s="1624">
        <v>5188234.6499999994</v>
      </c>
      <c r="I153" s="1623">
        <v>0</v>
      </c>
      <c r="J153" s="1623">
        <v>518823.46499999997</v>
      </c>
      <c r="K153" s="1623">
        <v>0</v>
      </c>
      <c r="L153" s="1623">
        <v>0</v>
      </c>
      <c r="M153" s="1624">
        <v>518823.46499999997</v>
      </c>
    </row>
    <row r="154" spans="2:13" ht="22.5">
      <c r="B154" s="1630">
        <v>3</v>
      </c>
      <c r="C154" s="1627" t="s">
        <v>1512</v>
      </c>
      <c r="D154" s="1623">
        <v>0</v>
      </c>
      <c r="E154" s="1623">
        <v>3085662.21</v>
      </c>
      <c r="F154" s="1623">
        <v>0</v>
      </c>
      <c r="G154" s="1623">
        <v>0</v>
      </c>
      <c r="H154" s="1624">
        <v>3085662.21</v>
      </c>
      <c r="I154" s="1623">
        <v>0</v>
      </c>
      <c r="J154" s="1623">
        <v>308566.22100000002</v>
      </c>
      <c r="K154" s="1623">
        <v>0</v>
      </c>
      <c r="L154" s="1623">
        <v>0</v>
      </c>
      <c r="M154" s="1624">
        <v>308566.22100000002</v>
      </c>
    </row>
    <row r="155" spans="2:13" ht="45">
      <c r="B155" s="1621">
        <v>4</v>
      </c>
      <c r="C155" s="1627" t="s">
        <v>1513</v>
      </c>
      <c r="D155" s="1623"/>
      <c r="E155" s="1623">
        <v>64703580</v>
      </c>
      <c r="F155" s="1623">
        <v>0</v>
      </c>
      <c r="G155" s="1623">
        <v>0</v>
      </c>
      <c r="H155" s="1624">
        <v>64703580</v>
      </c>
      <c r="I155" s="1623">
        <v>0</v>
      </c>
      <c r="J155" s="1623">
        <v>6470358</v>
      </c>
      <c r="K155" s="1623">
        <v>0</v>
      </c>
      <c r="L155" s="1623">
        <v>0</v>
      </c>
      <c r="M155" s="1624">
        <v>6470358</v>
      </c>
    </row>
    <row r="156" spans="2:13">
      <c r="B156" s="1621"/>
      <c r="C156" s="1627"/>
      <c r="D156" s="1623"/>
      <c r="E156" s="1623"/>
      <c r="F156" s="1623"/>
      <c r="G156" s="1623"/>
      <c r="H156" s="1624"/>
      <c r="I156" s="1623"/>
      <c r="J156" s="1623"/>
      <c r="K156" s="1623"/>
      <c r="L156" s="1623"/>
      <c r="M156" s="1624"/>
    </row>
    <row r="157" spans="2:13">
      <c r="B157" s="1618"/>
      <c r="C157" s="1619" t="s">
        <v>1514</v>
      </c>
      <c r="D157" s="1620">
        <v>0</v>
      </c>
      <c r="E157" s="1620">
        <v>0</v>
      </c>
      <c r="F157" s="1620">
        <v>0</v>
      </c>
      <c r="G157" s="1620">
        <v>109680650</v>
      </c>
      <c r="H157" s="1620">
        <v>109680650</v>
      </c>
      <c r="I157" s="1620">
        <v>0</v>
      </c>
      <c r="J157" s="1620">
        <v>0</v>
      </c>
      <c r="K157" s="1620">
        <v>0</v>
      </c>
      <c r="L157" s="1620">
        <v>109680650</v>
      </c>
      <c r="M157" s="1620">
        <v>109680650</v>
      </c>
    </row>
    <row r="158" spans="2:13">
      <c r="B158" s="1621">
        <v>1</v>
      </c>
      <c r="C158" s="1622" t="s">
        <v>1515</v>
      </c>
      <c r="D158" s="1623">
        <v>0</v>
      </c>
      <c r="E158" s="1623">
        <v>0</v>
      </c>
      <c r="F158" s="1623">
        <v>0</v>
      </c>
      <c r="G158" s="1623">
        <v>109680650</v>
      </c>
      <c r="H158" s="1624">
        <v>109680650</v>
      </c>
      <c r="I158" s="1623">
        <v>0</v>
      </c>
      <c r="J158" s="1623">
        <v>0</v>
      </c>
      <c r="K158" s="1623">
        <v>0</v>
      </c>
      <c r="L158" s="1623">
        <v>109680650</v>
      </c>
      <c r="M158" s="1624">
        <v>109680650</v>
      </c>
    </row>
    <row r="159" spans="2:13">
      <c r="B159" s="1612"/>
      <c r="C159" s="1613"/>
      <c r="D159" s="1614"/>
      <c r="E159" s="1614"/>
      <c r="F159" s="1614"/>
      <c r="G159" s="1614"/>
      <c r="H159" s="1625"/>
      <c r="I159" s="1614"/>
      <c r="J159" s="1614"/>
      <c r="K159" s="1614"/>
      <c r="L159" s="1614"/>
      <c r="M159" s="1625"/>
    </row>
    <row r="160" spans="2:13">
      <c r="B160" s="1618"/>
      <c r="C160" s="1619" t="s">
        <v>1516</v>
      </c>
      <c r="D160" s="1620">
        <v>0</v>
      </c>
      <c r="E160" s="1620">
        <v>691539121.75</v>
      </c>
      <c r="F160" s="1620">
        <v>0</v>
      </c>
      <c r="G160" s="1620">
        <v>148732939.93000001</v>
      </c>
      <c r="H160" s="1620">
        <v>840272061.67999995</v>
      </c>
      <c r="I160" s="1620">
        <v>3457695.6087500001</v>
      </c>
      <c r="J160" s="1620">
        <v>0</v>
      </c>
      <c r="K160" s="1620">
        <v>0</v>
      </c>
      <c r="L160" s="1620">
        <v>840272061.67999995</v>
      </c>
      <c r="M160" s="1620">
        <v>843729757.28874993</v>
      </c>
    </row>
    <row r="161" spans="2:13">
      <c r="B161" s="1621">
        <v>1</v>
      </c>
      <c r="C161" s="1622" t="s">
        <v>1517</v>
      </c>
      <c r="D161" s="1623">
        <v>0</v>
      </c>
      <c r="E161" s="1623">
        <v>0</v>
      </c>
      <c r="F161" s="1623">
        <v>0</v>
      </c>
      <c r="G161" s="1623">
        <v>84040000</v>
      </c>
      <c r="H161" s="1624">
        <v>84040000</v>
      </c>
      <c r="I161" s="1623">
        <v>0</v>
      </c>
      <c r="J161" s="1623">
        <v>0</v>
      </c>
      <c r="K161" s="1623">
        <v>0</v>
      </c>
      <c r="L161" s="1623">
        <v>84040000</v>
      </c>
      <c r="M161" s="1624">
        <v>84040000</v>
      </c>
    </row>
    <row r="162" spans="2:13">
      <c r="B162" s="1621">
        <v>2</v>
      </c>
      <c r="C162" s="1622" t="s">
        <v>1518</v>
      </c>
      <c r="D162" s="1623">
        <v>0</v>
      </c>
      <c r="E162" s="1623">
        <v>691539121.75</v>
      </c>
      <c r="F162" s="1623">
        <v>0</v>
      </c>
      <c r="G162" s="1631">
        <v>0</v>
      </c>
      <c r="H162" s="1624">
        <v>691539121.75</v>
      </c>
      <c r="I162" s="1623">
        <v>3457695.6087500001</v>
      </c>
      <c r="J162" s="1623">
        <v>0</v>
      </c>
      <c r="K162" s="1623">
        <v>0</v>
      </c>
      <c r="L162" s="1623">
        <v>691539121.75</v>
      </c>
      <c r="M162" s="1624">
        <v>694996817.35874999</v>
      </c>
    </row>
    <row r="163" spans="2:13">
      <c r="B163" s="1621">
        <v>3</v>
      </c>
      <c r="C163" s="1622" t="s">
        <v>1518</v>
      </c>
      <c r="D163" s="1623">
        <v>0</v>
      </c>
      <c r="E163" s="1623">
        <v>0</v>
      </c>
      <c r="F163" s="1623">
        <v>0</v>
      </c>
      <c r="G163" s="1623">
        <v>64692939.93</v>
      </c>
      <c r="H163" s="1624">
        <v>64692939.93</v>
      </c>
      <c r="I163" s="1623">
        <v>0</v>
      </c>
      <c r="J163" s="1623">
        <v>0</v>
      </c>
      <c r="K163" s="1623">
        <v>0</v>
      </c>
      <c r="L163" s="1623">
        <v>64692939.93</v>
      </c>
      <c r="M163" s="1624">
        <v>64692939.93</v>
      </c>
    </row>
    <row r="164" spans="2:13">
      <c r="B164" s="1612"/>
      <c r="C164" s="1613"/>
      <c r="D164" s="1614"/>
      <c r="E164" s="1614"/>
      <c r="F164" s="1614"/>
      <c r="G164" s="1614"/>
      <c r="H164" s="1625"/>
      <c r="I164" s="1614"/>
      <c r="J164" s="1614"/>
      <c r="K164" s="1614"/>
      <c r="L164" s="1614"/>
      <c r="M164" s="1625"/>
    </row>
    <row r="165" spans="2:13">
      <c r="B165" s="1618"/>
      <c r="C165" s="1619" t="s">
        <v>1519</v>
      </c>
      <c r="D165" s="1620">
        <v>0</v>
      </c>
      <c r="E165" s="1620">
        <v>0</v>
      </c>
      <c r="F165" s="1620">
        <v>0</v>
      </c>
      <c r="G165" s="1620">
        <v>15945625</v>
      </c>
      <c r="H165" s="1620">
        <v>15945625</v>
      </c>
      <c r="I165" s="1620">
        <v>0</v>
      </c>
      <c r="J165" s="1620">
        <v>0</v>
      </c>
      <c r="K165" s="1620">
        <v>97101000</v>
      </c>
      <c r="L165" s="1620">
        <v>0</v>
      </c>
      <c r="M165" s="1620">
        <v>97101000</v>
      </c>
    </row>
    <row r="166" spans="2:13">
      <c r="B166" s="1621">
        <v>1</v>
      </c>
      <c r="C166" s="1622" t="s">
        <v>1520</v>
      </c>
      <c r="D166" s="1623">
        <v>0</v>
      </c>
      <c r="E166" s="1623">
        <v>0</v>
      </c>
      <c r="F166" s="1623">
        <v>0</v>
      </c>
      <c r="G166" s="1623">
        <v>11995625</v>
      </c>
      <c r="H166" s="1624">
        <v>11995625</v>
      </c>
      <c r="I166" s="1623">
        <v>0</v>
      </c>
      <c r="J166" s="1623">
        <v>0</v>
      </c>
      <c r="K166" s="1623">
        <v>32367000</v>
      </c>
      <c r="L166" s="1623">
        <v>0</v>
      </c>
      <c r="M166" s="1624">
        <v>32367000</v>
      </c>
    </row>
    <row r="167" spans="2:13">
      <c r="B167" s="1621">
        <v>2</v>
      </c>
      <c r="C167" s="1622" t="s">
        <v>1520</v>
      </c>
      <c r="D167" s="1623">
        <v>0</v>
      </c>
      <c r="E167" s="1623">
        <v>0</v>
      </c>
      <c r="F167" s="1623">
        <v>0</v>
      </c>
      <c r="G167" s="1623">
        <v>1350000</v>
      </c>
      <c r="H167" s="1624">
        <v>1350000</v>
      </c>
      <c r="I167" s="1623">
        <v>0</v>
      </c>
      <c r="J167" s="1623">
        <v>0</v>
      </c>
      <c r="K167" s="1623">
        <v>32367000</v>
      </c>
      <c r="L167" s="1623">
        <v>0</v>
      </c>
      <c r="M167" s="1624">
        <v>32367000</v>
      </c>
    </row>
    <row r="168" spans="2:13">
      <c r="B168" s="1621">
        <v>3</v>
      </c>
      <c r="C168" s="1622" t="s">
        <v>1517</v>
      </c>
      <c r="D168" s="1623">
        <v>0</v>
      </c>
      <c r="E168" s="1623">
        <v>0</v>
      </c>
      <c r="F168" s="1623">
        <v>0</v>
      </c>
      <c r="G168" s="1623">
        <v>2600000</v>
      </c>
      <c r="H168" s="1624">
        <v>2600000</v>
      </c>
      <c r="I168" s="1623">
        <v>0</v>
      </c>
      <c r="J168" s="1623">
        <v>0</v>
      </c>
      <c r="K168" s="1623">
        <v>32367000</v>
      </c>
      <c r="L168" s="1623">
        <v>0</v>
      </c>
      <c r="M168" s="1624">
        <v>32367000</v>
      </c>
    </row>
    <row r="169" spans="2:13">
      <c r="B169" s="1612"/>
      <c r="C169" s="1613"/>
      <c r="D169" s="1614"/>
      <c r="E169" s="1614"/>
      <c r="F169" s="1614"/>
      <c r="G169" s="1614"/>
      <c r="H169" s="1625"/>
      <c r="I169" s="1614"/>
      <c r="J169" s="1614"/>
      <c r="K169" s="1614"/>
      <c r="L169" s="1614"/>
      <c r="M169" s="1625"/>
    </row>
    <row r="170" spans="2:13">
      <c r="B170" s="1618"/>
      <c r="C170" s="1619" t="s">
        <v>1521</v>
      </c>
      <c r="D170" s="1620">
        <v>0</v>
      </c>
      <c r="E170" s="1620">
        <v>506846964</v>
      </c>
      <c r="F170" s="1620">
        <v>0</v>
      </c>
      <c r="G170" s="1620">
        <v>0</v>
      </c>
      <c r="H170" s="1620">
        <v>506846964</v>
      </c>
      <c r="I170" s="1620">
        <v>2784234.8200000003</v>
      </c>
      <c r="J170" s="1620">
        <v>0</v>
      </c>
      <c r="K170" s="1620">
        <v>0</v>
      </c>
      <c r="L170" s="1620">
        <v>0</v>
      </c>
      <c r="M170" s="1620">
        <v>2784234.8200000003</v>
      </c>
    </row>
    <row r="171" spans="2:13">
      <c r="B171" s="1621">
        <v>1</v>
      </c>
      <c r="C171" s="1622" t="s">
        <v>1522</v>
      </c>
      <c r="D171" s="1623">
        <v>0</v>
      </c>
      <c r="E171" s="1623">
        <v>93500000</v>
      </c>
      <c r="F171" s="1623">
        <v>0</v>
      </c>
      <c r="G171" s="1623">
        <v>0</v>
      </c>
      <c r="H171" s="1624">
        <v>93500000</v>
      </c>
      <c r="I171" s="1623">
        <v>467500</v>
      </c>
      <c r="J171" s="1623">
        <v>0</v>
      </c>
      <c r="K171" s="1623">
        <v>0</v>
      </c>
      <c r="L171" s="1623">
        <v>0</v>
      </c>
      <c r="M171" s="1624">
        <v>467500</v>
      </c>
    </row>
    <row r="172" spans="2:13" ht="22.5">
      <c r="B172" s="1621">
        <v>2</v>
      </c>
      <c r="C172" s="1627" t="s">
        <v>1523</v>
      </c>
      <c r="D172" s="1623">
        <v>0</v>
      </c>
      <c r="E172" s="1623">
        <v>57082000</v>
      </c>
      <c r="F172" s="1623">
        <v>0</v>
      </c>
      <c r="G172" s="1623">
        <v>0</v>
      </c>
      <c r="H172" s="1624">
        <v>57082000</v>
      </c>
      <c r="I172" s="1623">
        <v>285410</v>
      </c>
      <c r="J172" s="1623">
        <v>0</v>
      </c>
      <c r="K172" s="1623">
        <v>0</v>
      </c>
      <c r="L172" s="1623">
        <v>0</v>
      </c>
      <c r="M172" s="1624">
        <v>285410</v>
      </c>
    </row>
    <row r="173" spans="2:13">
      <c r="B173" s="1621">
        <v>3</v>
      </c>
      <c r="C173" s="1622" t="s">
        <v>1520</v>
      </c>
      <c r="D173" s="1623">
        <v>0</v>
      </c>
      <c r="E173" s="1623">
        <v>356264964</v>
      </c>
      <c r="F173" s="1623">
        <v>0</v>
      </c>
      <c r="G173" s="1623">
        <v>0</v>
      </c>
      <c r="H173" s="1624">
        <v>356264964</v>
      </c>
      <c r="I173" s="1623">
        <v>2031324.82</v>
      </c>
      <c r="J173" s="1623">
        <v>0</v>
      </c>
      <c r="K173" s="1623">
        <v>0</v>
      </c>
      <c r="L173" s="1623">
        <v>0</v>
      </c>
      <c r="M173" s="1624">
        <v>2031324.82</v>
      </c>
    </row>
    <row r="174" spans="2:13">
      <c r="B174" s="1612"/>
      <c r="C174" s="1613"/>
      <c r="D174" s="1614"/>
      <c r="E174" s="1614"/>
      <c r="F174" s="1614"/>
      <c r="G174" s="1614"/>
      <c r="H174" s="1625"/>
      <c r="I174" s="1614"/>
      <c r="J174" s="1614"/>
      <c r="K174" s="1614"/>
      <c r="L174" s="1614"/>
      <c r="M174" s="1625"/>
    </row>
    <row r="175" spans="2:13">
      <c r="B175" s="1618"/>
      <c r="C175" s="1619" t="s">
        <v>1524</v>
      </c>
      <c r="D175" s="1620">
        <v>0</v>
      </c>
      <c r="E175" s="1620">
        <v>254283099</v>
      </c>
      <c r="F175" s="1620">
        <v>0</v>
      </c>
      <c r="G175" s="1620">
        <v>0</v>
      </c>
      <c r="H175" s="1620">
        <v>254283099</v>
      </c>
      <c r="I175" s="1620">
        <v>1315190.5049999999</v>
      </c>
      <c r="J175" s="1620">
        <v>0</v>
      </c>
      <c r="K175" s="1620">
        <v>0</v>
      </c>
      <c r="L175" s="1620">
        <v>0</v>
      </c>
      <c r="M175" s="1620">
        <v>1315190.5049999999</v>
      </c>
    </row>
    <row r="176" spans="2:13">
      <c r="B176" s="1621">
        <v>1</v>
      </c>
      <c r="C176" s="1622" t="s">
        <v>1525</v>
      </c>
      <c r="D176" s="1623">
        <v>0</v>
      </c>
      <c r="E176" s="1623">
        <v>217896598</v>
      </c>
      <c r="F176" s="1623">
        <v>0</v>
      </c>
      <c r="G176" s="1623">
        <v>0</v>
      </c>
      <c r="H176" s="1624">
        <v>217896598</v>
      </c>
      <c r="I176" s="1623">
        <v>1094482.99</v>
      </c>
      <c r="J176" s="1623">
        <v>0</v>
      </c>
      <c r="K176" s="1623">
        <v>0</v>
      </c>
      <c r="L176" s="1623">
        <v>0</v>
      </c>
      <c r="M176" s="1624">
        <v>1094482.99</v>
      </c>
    </row>
    <row r="177" spans="2:13">
      <c r="B177" s="1621">
        <v>3</v>
      </c>
      <c r="C177" s="1622" t="s">
        <v>1526</v>
      </c>
      <c r="D177" s="1640">
        <v>0</v>
      </c>
      <c r="E177" s="1640">
        <v>36386500</v>
      </c>
      <c r="F177" s="1623">
        <v>0</v>
      </c>
      <c r="G177" s="1623">
        <v>0</v>
      </c>
      <c r="H177" s="1624">
        <v>36386500</v>
      </c>
      <c r="I177" s="1623">
        <v>213207.5</v>
      </c>
      <c r="J177" s="1623">
        <v>0</v>
      </c>
      <c r="K177" s="1623">
        <v>0</v>
      </c>
      <c r="L177" s="1623">
        <v>0</v>
      </c>
      <c r="M177" s="1624">
        <v>213207.5</v>
      </c>
    </row>
    <row r="178" spans="2:13">
      <c r="B178" s="1621">
        <v>4</v>
      </c>
      <c r="C178" s="1622" t="s">
        <v>1527</v>
      </c>
      <c r="D178" s="1623">
        <v>0</v>
      </c>
      <c r="E178" s="1623">
        <v>1</v>
      </c>
      <c r="F178" s="1623">
        <v>0</v>
      </c>
      <c r="G178" s="1623">
        <v>0</v>
      </c>
      <c r="H178" s="1624">
        <v>1</v>
      </c>
      <c r="I178" s="1623">
        <v>7500.0150000000003</v>
      </c>
      <c r="J178" s="1623">
        <v>0</v>
      </c>
      <c r="K178" s="1623">
        <v>0</v>
      </c>
      <c r="L178" s="1623">
        <v>0</v>
      </c>
      <c r="M178" s="1624">
        <v>7500.0150000000003</v>
      </c>
    </row>
    <row r="179" spans="2:13">
      <c r="B179" s="1612"/>
      <c r="C179" s="1613"/>
      <c r="D179" s="1614"/>
      <c r="E179" s="1614"/>
      <c r="F179" s="1614"/>
      <c r="G179" s="1614"/>
      <c r="H179" s="1624">
        <v>0</v>
      </c>
      <c r="I179" s="1614"/>
      <c r="J179" s="1614"/>
      <c r="K179" s="1614"/>
      <c r="L179" s="1614"/>
      <c r="M179" s="1625"/>
    </row>
    <row r="180" spans="2:13">
      <c r="B180" s="1618"/>
      <c r="C180" s="1619" t="s">
        <v>1528</v>
      </c>
      <c r="D180" s="1620">
        <v>0</v>
      </c>
      <c r="E180" s="1620">
        <v>74297972.489999995</v>
      </c>
      <c r="F180" s="1620">
        <v>0</v>
      </c>
      <c r="G180" s="1620">
        <v>0</v>
      </c>
      <c r="H180" s="1620">
        <v>74297972.489999995</v>
      </c>
      <c r="I180" s="1620">
        <v>0</v>
      </c>
      <c r="J180" s="1620">
        <v>7429797.2489999998</v>
      </c>
      <c r="K180" s="1620">
        <v>0</v>
      </c>
      <c r="L180" s="1620">
        <v>0</v>
      </c>
      <c r="M180" s="1620">
        <v>7429797.2489999998</v>
      </c>
    </row>
    <row r="181" spans="2:13">
      <c r="B181" s="1621">
        <v>1</v>
      </c>
      <c r="C181" s="1622" t="s">
        <v>1529</v>
      </c>
      <c r="D181" s="1623">
        <v>0</v>
      </c>
      <c r="E181" s="1623">
        <v>8900000</v>
      </c>
      <c r="F181" s="1623">
        <v>0</v>
      </c>
      <c r="G181" s="1623">
        <v>0</v>
      </c>
      <c r="H181" s="1624">
        <v>8900000</v>
      </c>
      <c r="I181" s="1623">
        <v>0</v>
      </c>
      <c r="J181" s="1623">
        <v>890000</v>
      </c>
      <c r="K181" s="1623">
        <v>0</v>
      </c>
      <c r="L181" s="1623">
        <v>0</v>
      </c>
      <c r="M181" s="1624">
        <v>890000</v>
      </c>
    </row>
    <row r="182" spans="2:13">
      <c r="B182" s="1621">
        <v>2</v>
      </c>
      <c r="C182" s="1622" t="s">
        <v>1529</v>
      </c>
      <c r="D182" s="1623">
        <v>0</v>
      </c>
      <c r="E182" s="1623">
        <v>1300000</v>
      </c>
      <c r="F182" s="1623">
        <v>0</v>
      </c>
      <c r="G182" s="1623">
        <v>0</v>
      </c>
      <c r="H182" s="1624">
        <v>1300000</v>
      </c>
      <c r="I182" s="1623">
        <v>0</v>
      </c>
      <c r="J182" s="1623">
        <v>130000</v>
      </c>
      <c r="K182" s="1623">
        <v>0</v>
      </c>
      <c r="L182" s="1623">
        <v>0</v>
      </c>
      <c r="M182" s="1624">
        <v>130000</v>
      </c>
    </row>
    <row r="183" spans="2:13" ht="45">
      <c r="B183" s="1630">
        <v>3</v>
      </c>
      <c r="C183" s="1627" t="s">
        <v>1530</v>
      </c>
      <c r="D183" s="1623">
        <v>0</v>
      </c>
      <c r="E183" s="1623">
        <v>17638000</v>
      </c>
      <c r="F183" s="1623">
        <v>0</v>
      </c>
      <c r="G183" s="1623">
        <v>0</v>
      </c>
      <c r="H183" s="1624">
        <v>17638000</v>
      </c>
      <c r="I183" s="1623">
        <v>0</v>
      </c>
      <c r="J183" s="1623">
        <v>1763800</v>
      </c>
      <c r="K183" s="1623">
        <v>0</v>
      </c>
      <c r="L183" s="1623">
        <v>0</v>
      </c>
      <c r="M183" s="1624">
        <v>1763800</v>
      </c>
    </row>
    <row r="184" spans="2:13">
      <c r="B184" s="1621">
        <v>4</v>
      </c>
      <c r="C184" s="1627" t="s">
        <v>1529</v>
      </c>
      <c r="D184" s="1623">
        <v>0</v>
      </c>
      <c r="E184" s="1623">
        <v>21000000</v>
      </c>
      <c r="F184" s="1623">
        <v>0</v>
      </c>
      <c r="G184" s="1623">
        <v>0</v>
      </c>
      <c r="H184" s="1624">
        <v>21000000</v>
      </c>
      <c r="I184" s="1623">
        <v>0</v>
      </c>
      <c r="J184" s="1623">
        <v>2100000</v>
      </c>
      <c r="K184" s="1623">
        <v>0</v>
      </c>
      <c r="L184" s="1623">
        <v>0</v>
      </c>
      <c r="M184" s="1624">
        <v>2100000</v>
      </c>
    </row>
    <row r="185" spans="2:13">
      <c r="B185" s="1630">
        <v>5</v>
      </c>
      <c r="C185" s="1627" t="s">
        <v>1518</v>
      </c>
      <c r="D185" s="1623">
        <v>0</v>
      </c>
      <c r="E185" s="1623">
        <v>25459972.489999998</v>
      </c>
      <c r="F185" s="1623">
        <v>0</v>
      </c>
      <c r="G185" s="1623">
        <v>0</v>
      </c>
      <c r="H185" s="1624">
        <v>25459972.489999998</v>
      </c>
      <c r="I185" s="1623">
        <v>0</v>
      </c>
      <c r="J185" s="1623">
        <v>2545997.2489999998</v>
      </c>
      <c r="K185" s="1623">
        <v>0</v>
      </c>
      <c r="L185" s="1623">
        <v>0</v>
      </c>
      <c r="M185" s="1624">
        <v>2545997.2489999998</v>
      </c>
    </row>
    <row r="186" spans="2:13">
      <c r="B186" s="1612"/>
      <c r="C186" s="1613"/>
      <c r="D186" s="1614"/>
      <c r="E186" s="1614"/>
      <c r="F186" s="1614"/>
      <c r="G186" s="1614"/>
      <c r="H186" s="1625"/>
      <c r="I186" s="1614"/>
      <c r="J186" s="1614"/>
      <c r="K186" s="1614"/>
      <c r="L186" s="1614"/>
      <c r="M186" s="1625"/>
    </row>
    <row r="187" spans="2:13">
      <c r="B187" s="1618"/>
      <c r="C187" s="1619" t="s">
        <v>1531</v>
      </c>
      <c r="D187" s="1620">
        <v>561175291.60000002</v>
      </c>
      <c r="E187" s="1620">
        <v>0</v>
      </c>
      <c r="F187" s="1620">
        <v>0</v>
      </c>
      <c r="G187" s="1620">
        <v>0</v>
      </c>
      <c r="H187" s="1620">
        <v>561175291.60000002</v>
      </c>
      <c r="I187" s="1620">
        <v>2805876.4579999996</v>
      </c>
      <c r="J187" s="1620">
        <v>0</v>
      </c>
      <c r="K187" s="1620">
        <v>0</v>
      </c>
      <c r="L187" s="1620">
        <v>0</v>
      </c>
      <c r="M187" s="1620">
        <v>2805876.4579999996</v>
      </c>
    </row>
    <row r="188" spans="2:13">
      <c r="B188" s="1621">
        <v>1</v>
      </c>
      <c r="C188" s="1622" t="s">
        <v>190</v>
      </c>
      <c r="D188" s="1623">
        <v>2239091</v>
      </c>
      <c r="E188" s="1623">
        <v>0</v>
      </c>
      <c r="F188" s="1623">
        <v>0</v>
      </c>
      <c r="G188" s="1623">
        <v>0</v>
      </c>
      <c r="H188" s="1624">
        <v>2239091</v>
      </c>
      <c r="I188" s="1623">
        <v>11195.455</v>
      </c>
      <c r="J188" s="1623">
        <v>0</v>
      </c>
      <c r="K188" s="1623">
        <v>0</v>
      </c>
      <c r="L188" s="1623">
        <v>0</v>
      </c>
      <c r="M188" s="1624">
        <v>11195.455</v>
      </c>
    </row>
    <row r="189" spans="2:13">
      <c r="B189" s="1621">
        <v>2</v>
      </c>
      <c r="C189" s="1622" t="s">
        <v>1303</v>
      </c>
      <c r="D189" s="1623">
        <v>194484000</v>
      </c>
      <c r="E189" s="1623">
        <v>0</v>
      </c>
      <c r="F189" s="1623">
        <v>0</v>
      </c>
      <c r="G189" s="1623">
        <v>0</v>
      </c>
      <c r="H189" s="1624">
        <v>194484000</v>
      </c>
      <c r="I189" s="1623">
        <v>972420</v>
      </c>
      <c r="J189" s="1623">
        <v>0</v>
      </c>
      <c r="K189" s="1623">
        <v>0</v>
      </c>
      <c r="L189" s="1623">
        <v>0</v>
      </c>
      <c r="M189" s="1624">
        <v>972420</v>
      </c>
    </row>
    <row r="190" spans="2:13">
      <c r="B190" s="1621">
        <v>3</v>
      </c>
      <c r="C190" s="1622" t="s">
        <v>1253</v>
      </c>
      <c r="D190" s="1623">
        <v>2577000</v>
      </c>
      <c r="E190" s="1623">
        <v>0</v>
      </c>
      <c r="F190" s="1623">
        <v>0</v>
      </c>
      <c r="G190" s="1623">
        <v>0</v>
      </c>
      <c r="H190" s="1624">
        <v>2577000</v>
      </c>
      <c r="I190" s="1623">
        <v>12885</v>
      </c>
      <c r="J190" s="1623">
        <v>0</v>
      </c>
      <c r="K190" s="1623">
        <v>0</v>
      </c>
      <c r="L190" s="1623">
        <v>0</v>
      </c>
      <c r="M190" s="1624">
        <v>12885</v>
      </c>
    </row>
    <row r="191" spans="2:13">
      <c r="B191" s="1621">
        <v>4</v>
      </c>
      <c r="C191" s="1622" t="s">
        <v>177</v>
      </c>
      <c r="D191" s="1623">
        <v>7287000</v>
      </c>
      <c r="E191" s="1623">
        <v>0</v>
      </c>
      <c r="F191" s="1623">
        <v>0</v>
      </c>
      <c r="G191" s="1623">
        <v>0</v>
      </c>
      <c r="H191" s="1624">
        <v>7287000</v>
      </c>
      <c r="I191" s="1623">
        <v>36435</v>
      </c>
      <c r="J191" s="1623">
        <v>0</v>
      </c>
      <c r="K191" s="1623">
        <v>0</v>
      </c>
      <c r="L191" s="1623">
        <v>0</v>
      </c>
      <c r="M191" s="1624">
        <v>36435</v>
      </c>
    </row>
    <row r="192" spans="2:13">
      <c r="B192" s="1621">
        <v>5</v>
      </c>
      <c r="C192" s="1641" t="s">
        <v>171</v>
      </c>
      <c r="D192" s="1642">
        <v>11435000</v>
      </c>
      <c r="E192" s="1623">
        <v>0</v>
      </c>
      <c r="F192" s="1623">
        <v>0</v>
      </c>
      <c r="G192" s="1623">
        <v>0</v>
      </c>
      <c r="H192" s="1624">
        <v>11435000</v>
      </c>
      <c r="I192" s="1623">
        <v>57175</v>
      </c>
      <c r="J192" s="1623">
        <v>0</v>
      </c>
      <c r="K192" s="1623">
        <v>0</v>
      </c>
      <c r="L192" s="1623">
        <v>0</v>
      </c>
      <c r="M192" s="1624">
        <v>57175</v>
      </c>
    </row>
    <row r="193" spans="2:13">
      <c r="B193" s="1621">
        <v>6</v>
      </c>
      <c r="C193" s="1641" t="s">
        <v>1532</v>
      </c>
      <c r="D193" s="1642">
        <v>4500000</v>
      </c>
      <c r="E193" s="1623">
        <v>0</v>
      </c>
      <c r="F193" s="1623">
        <v>0</v>
      </c>
      <c r="G193" s="1623">
        <v>0</v>
      </c>
      <c r="H193" s="1624">
        <v>4500000</v>
      </c>
      <c r="I193" s="1623">
        <v>22500</v>
      </c>
      <c r="J193" s="1623">
        <v>0</v>
      </c>
      <c r="K193" s="1623">
        <v>0</v>
      </c>
      <c r="L193" s="1623">
        <v>0</v>
      </c>
      <c r="M193" s="1624">
        <v>22500</v>
      </c>
    </row>
    <row r="194" spans="2:13">
      <c r="B194" s="1621">
        <v>7</v>
      </c>
      <c r="C194" s="1641" t="s">
        <v>1533</v>
      </c>
      <c r="D194" s="1642">
        <v>18750</v>
      </c>
      <c r="E194" s="1623">
        <v>0</v>
      </c>
      <c r="F194" s="1623">
        <v>0</v>
      </c>
      <c r="G194" s="1623">
        <v>0</v>
      </c>
      <c r="H194" s="1624">
        <v>18750</v>
      </c>
      <c r="I194" s="1623">
        <v>93.75</v>
      </c>
      <c r="J194" s="1623">
        <v>0</v>
      </c>
      <c r="K194" s="1623">
        <v>0</v>
      </c>
      <c r="L194" s="1623">
        <v>0</v>
      </c>
      <c r="M194" s="1624">
        <v>93.75</v>
      </c>
    </row>
    <row r="195" spans="2:13">
      <c r="B195" s="1621">
        <v>8</v>
      </c>
      <c r="C195" s="1641" t="s">
        <v>1534</v>
      </c>
      <c r="D195" s="1642">
        <v>90800000</v>
      </c>
      <c r="E195" s="1623">
        <v>0</v>
      </c>
      <c r="F195" s="1623">
        <v>0</v>
      </c>
      <c r="G195" s="1623">
        <v>0</v>
      </c>
      <c r="H195" s="1624">
        <v>90800000</v>
      </c>
      <c r="I195" s="1623">
        <v>454000</v>
      </c>
      <c r="J195" s="1623">
        <v>0</v>
      </c>
      <c r="K195" s="1623">
        <v>0</v>
      </c>
      <c r="L195" s="1623">
        <v>0</v>
      </c>
      <c r="M195" s="1624">
        <v>454000</v>
      </c>
    </row>
    <row r="196" spans="2:13">
      <c r="B196" s="1621">
        <v>9</v>
      </c>
      <c r="C196" s="1641" t="s">
        <v>1535</v>
      </c>
      <c r="D196" s="1642">
        <v>53609600</v>
      </c>
      <c r="E196" s="1623">
        <v>0</v>
      </c>
      <c r="F196" s="1623">
        <v>0</v>
      </c>
      <c r="G196" s="1623">
        <v>0</v>
      </c>
      <c r="H196" s="1624">
        <v>53609600</v>
      </c>
      <c r="I196" s="1623">
        <v>268048</v>
      </c>
      <c r="J196" s="1623">
        <v>0</v>
      </c>
      <c r="K196" s="1623">
        <v>0</v>
      </c>
      <c r="L196" s="1623">
        <v>0</v>
      </c>
      <c r="M196" s="1624">
        <v>268048</v>
      </c>
    </row>
    <row r="197" spans="2:13">
      <c r="B197" s="1621">
        <v>10</v>
      </c>
      <c r="C197" s="1641" t="s">
        <v>188</v>
      </c>
      <c r="D197" s="1642">
        <v>2700000</v>
      </c>
      <c r="E197" s="1623">
        <v>0</v>
      </c>
      <c r="F197" s="1623">
        <v>0</v>
      </c>
      <c r="G197" s="1623">
        <v>0</v>
      </c>
      <c r="H197" s="1624">
        <v>2700000</v>
      </c>
      <c r="I197" s="1623">
        <v>13500</v>
      </c>
      <c r="J197" s="1623">
        <v>0</v>
      </c>
      <c r="K197" s="1623">
        <v>0</v>
      </c>
      <c r="L197" s="1623">
        <v>0</v>
      </c>
      <c r="M197" s="1624">
        <v>13500</v>
      </c>
    </row>
    <row r="198" spans="2:13">
      <c r="B198" s="1621">
        <v>11</v>
      </c>
      <c r="C198" s="1641" t="s">
        <v>1536</v>
      </c>
      <c r="D198" s="1642">
        <v>4370844</v>
      </c>
      <c r="E198" s="1623">
        <v>0</v>
      </c>
      <c r="F198" s="1623">
        <v>0</v>
      </c>
      <c r="G198" s="1623">
        <v>0</v>
      </c>
      <c r="H198" s="1624">
        <v>4370844</v>
      </c>
      <c r="I198" s="1623">
        <v>21854.22</v>
      </c>
      <c r="J198" s="1623">
        <v>0</v>
      </c>
      <c r="K198" s="1623">
        <v>0</v>
      </c>
      <c r="L198" s="1623">
        <v>0</v>
      </c>
      <c r="M198" s="1624">
        <v>21854.22</v>
      </c>
    </row>
    <row r="199" spans="2:13">
      <c r="B199" s="1621">
        <v>12</v>
      </c>
      <c r="C199" s="1641" t="s">
        <v>177</v>
      </c>
      <c r="D199" s="1642">
        <v>3087500.33</v>
      </c>
      <c r="E199" s="1623">
        <v>0</v>
      </c>
      <c r="F199" s="1623">
        <v>0</v>
      </c>
      <c r="G199" s="1623">
        <v>0</v>
      </c>
      <c r="H199" s="1624">
        <v>3087500.33</v>
      </c>
      <c r="I199" s="1623">
        <v>15437.50165</v>
      </c>
      <c r="J199" s="1623">
        <v>0</v>
      </c>
      <c r="K199" s="1623">
        <v>0</v>
      </c>
      <c r="L199" s="1623">
        <v>0</v>
      </c>
      <c r="M199" s="1624">
        <v>15437.50165</v>
      </c>
    </row>
    <row r="200" spans="2:13">
      <c r="B200" s="1621">
        <v>13</v>
      </c>
      <c r="C200" s="1641" t="s">
        <v>1537</v>
      </c>
      <c r="D200" s="1642">
        <v>3324000</v>
      </c>
      <c r="E200" s="1623">
        <v>0</v>
      </c>
      <c r="F200" s="1623">
        <v>0</v>
      </c>
      <c r="G200" s="1623">
        <v>0</v>
      </c>
      <c r="H200" s="1624">
        <v>3324000</v>
      </c>
      <c r="I200" s="1623">
        <v>16620</v>
      </c>
      <c r="J200" s="1623">
        <v>0</v>
      </c>
      <c r="K200" s="1623">
        <v>0</v>
      </c>
      <c r="L200" s="1623">
        <v>0</v>
      </c>
      <c r="M200" s="1624">
        <v>16620</v>
      </c>
    </row>
    <row r="201" spans="2:13">
      <c r="B201" s="1621">
        <v>14</v>
      </c>
      <c r="C201" s="1641" t="s">
        <v>1538</v>
      </c>
      <c r="D201" s="1642">
        <v>7054770.5999999996</v>
      </c>
      <c r="E201" s="1623">
        <v>0</v>
      </c>
      <c r="F201" s="1623">
        <v>0</v>
      </c>
      <c r="G201" s="1623">
        <v>0</v>
      </c>
      <c r="H201" s="1624">
        <v>7054770.5999999996</v>
      </c>
      <c r="I201" s="1623">
        <v>35273.852999999996</v>
      </c>
      <c r="J201" s="1623">
        <v>0</v>
      </c>
      <c r="K201" s="1623">
        <v>0</v>
      </c>
      <c r="L201" s="1623">
        <v>0</v>
      </c>
      <c r="M201" s="1624">
        <v>35273.852999999996</v>
      </c>
    </row>
    <row r="202" spans="2:13">
      <c r="B202" s="1621">
        <v>15</v>
      </c>
      <c r="C202" s="1641" t="s">
        <v>1539</v>
      </c>
      <c r="D202" s="1642">
        <v>14475735.669999998</v>
      </c>
      <c r="E202" s="1623">
        <v>0</v>
      </c>
      <c r="F202" s="1623">
        <v>0</v>
      </c>
      <c r="G202" s="1623">
        <v>0</v>
      </c>
      <c r="H202" s="1624">
        <v>14475735.669999998</v>
      </c>
      <c r="I202" s="1623">
        <v>72378.678349999987</v>
      </c>
      <c r="J202" s="1623">
        <v>0</v>
      </c>
      <c r="K202" s="1623">
        <v>0</v>
      </c>
      <c r="L202" s="1623">
        <v>0</v>
      </c>
      <c r="M202" s="1624">
        <v>72378.678349999987</v>
      </c>
    </row>
    <row r="203" spans="2:13" ht="33.75">
      <c r="B203" s="1621">
        <v>17</v>
      </c>
      <c r="C203" s="1643" t="s">
        <v>1540</v>
      </c>
      <c r="D203" s="1642">
        <v>159212000</v>
      </c>
      <c r="E203" s="1623">
        <v>0</v>
      </c>
      <c r="F203" s="1623">
        <v>0</v>
      </c>
      <c r="G203" s="1623">
        <v>0</v>
      </c>
      <c r="H203" s="1624">
        <v>159212000</v>
      </c>
      <c r="I203" s="1623">
        <v>796060</v>
      </c>
      <c r="J203" s="1623">
        <v>0</v>
      </c>
      <c r="K203" s="1623">
        <v>0</v>
      </c>
      <c r="L203" s="1623">
        <v>0</v>
      </c>
      <c r="M203" s="1624">
        <v>796060</v>
      </c>
    </row>
    <row r="204" spans="2:13">
      <c r="B204" s="1612"/>
      <c r="C204" s="1613"/>
      <c r="D204" s="1614"/>
      <c r="E204" s="1614"/>
      <c r="F204" s="1614"/>
      <c r="G204" s="1614"/>
      <c r="H204" s="1625"/>
      <c r="I204" s="1614"/>
      <c r="J204" s="1614"/>
      <c r="K204" s="1614"/>
      <c r="L204" s="1614"/>
      <c r="M204" s="1625"/>
    </row>
    <row r="205" spans="2:13">
      <c r="B205" s="1618"/>
      <c r="C205" s="1619" t="s">
        <v>199</v>
      </c>
      <c r="D205" s="1620">
        <v>1267346094.4299994</v>
      </c>
      <c r="E205" s="1620">
        <v>0</v>
      </c>
      <c r="F205" s="1620">
        <v>0</v>
      </c>
      <c r="G205" s="1620">
        <v>0</v>
      </c>
      <c r="H205" s="1620">
        <v>1267346094.4299994</v>
      </c>
      <c r="I205" s="1620">
        <v>6014461.2248999989</v>
      </c>
      <c r="J205" s="1620">
        <v>0</v>
      </c>
      <c r="K205" s="1620">
        <v>0</v>
      </c>
      <c r="L205" s="1620">
        <v>0</v>
      </c>
      <c r="M205" s="1620">
        <v>6014461.2248999989</v>
      </c>
    </row>
    <row r="206" spans="2:13" ht="22.5">
      <c r="B206" s="1644">
        <v>1</v>
      </c>
      <c r="C206" s="1643" t="s">
        <v>961</v>
      </c>
      <c r="D206" s="1645">
        <v>450000</v>
      </c>
      <c r="E206" s="1623">
        <v>0</v>
      </c>
      <c r="F206" s="1623">
        <v>0</v>
      </c>
      <c r="G206" s="1623">
        <v>0</v>
      </c>
      <c r="H206" s="1624">
        <v>450000</v>
      </c>
      <c r="I206" s="1623">
        <v>2250</v>
      </c>
      <c r="J206" s="1623">
        <v>0</v>
      </c>
      <c r="K206" s="1623">
        <v>0</v>
      </c>
      <c r="L206" s="1623">
        <v>0</v>
      </c>
      <c r="M206" s="1624">
        <v>2250</v>
      </c>
    </row>
    <row r="207" spans="2:13" ht="22.5">
      <c r="B207" s="1644">
        <v>2</v>
      </c>
      <c r="C207" s="1643" t="s">
        <v>1184</v>
      </c>
      <c r="D207" s="1645">
        <v>1835000</v>
      </c>
      <c r="E207" s="1623">
        <v>0</v>
      </c>
      <c r="F207" s="1623">
        <v>0</v>
      </c>
      <c r="G207" s="1623">
        <v>0</v>
      </c>
      <c r="H207" s="1624">
        <v>1835000</v>
      </c>
      <c r="I207" s="1623">
        <v>9175</v>
      </c>
      <c r="J207" s="1623">
        <v>0</v>
      </c>
      <c r="K207" s="1623">
        <v>0</v>
      </c>
      <c r="L207" s="1623">
        <v>0</v>
      </c>
      <c r="M207" s="1624">
        <v>9175</v>
      </c>
    </row>
    <row r="208" spans="2:13" ht="33.75">
      <c r="B208" s="1644">
        <v>3</v>
      </c>
      <c r="C208" s="1643" t="s">
        <v>1541</v>
      </c>
      <c r="D208" s="1645">
        <v>6427000</v>
      </c>
      <c r="E208" s="1623">
        <v>0</v>
      </c>
      <c r="F208" s="1623">
        <v>0</v>
      </c>
      <c r="G208" s="1623">
        <v>0</v>
      </c>
      <c r="H208" s="1624">
        <v>6427000</v>
      </c>
      <c r="I208" s="1623">
        <v>32135</v>
      </c>
      <c r="J208" s="1623">
        <v>0</v>
      </c>
      <c r="K208" s="1623">
        <v>0</v>
      </c>
      <c r="L208" s="1623">
        <v>0</v>
      </c>
      <c r="M208" s="1624">
        <v>32135</v>
      </c>
    </row>
    <row r="209" spans="2:13" ht="33.75">
      <c r="B209" s="1644">
        <v>4</v>
      </c>
      <c r="C209" s="1643" t="s">
        <v>1209</v>
      </c>
      <c r="D209" s="1645">
        <v>660000</v>
      </c>
      <c r="E209" s="1623">
        <v>0</v>
      </c>
      <c r="F209" s="1623">
        <v>0</v>
      </c>
      <c r="G209" s="1623">
        <v>0</v>
      </c>
      <c r="H209" s="1624">
        <v>660000</v>
      </c>
      <c r="I209" s="1623">
        <v>3300</v>
      </c>
      <c r="J209" s="1623">
        <v>0</v>
      </c>
      <c r="K209" s="1623">
        <v>0</v>
      </c>
      <c r="L209" s="1623">
        <v>0</v>
      </c>
      <c r="M209" s="1624">
        <v>3300</v>
      </c>
    </row>
    <row r="210" spans="2:13" ht="45">
      <c r="B210" s="1644">
        <v>5</v>
      </c>
      <c r="C210" s="1643" t="s">
        <v>1213</v>
      </c>
      <c r="D210" s="1645">
        <v>1800000</v>
      </c>
      <c r="E210" s="1623">
        <v>0</v>
      </c>
      <c r="F210" s="1623">
        <v>0</v>
      </c>
      <c r="G210" s="1623">
        <v>0</v>
      </c>
      <c r="H210" s="1624">
        <v>1800000</v>
      </c>
      <c r="I210" s="1623">
        <v>9000</v>
      </c>
      <c r="J210" s="1623">
        <v>0</v>
      </c>
      <c r="K210" s="1623">
        <v>0</v>
      </c>
      <c r="L210" s="1623">
        <v>0</v>
      </c>
      <c r="M210" s="1624">
        <v>9000</v>
      </c>
    </row>
    <row r="211" spans="2:13">
      <c r="B211" s="1644">
        <v>6</v>
      </c>
      <c r="C211" s="1643" t="s">
        <v>1253</v>
      </c>
      <c r="D211" s="1645">
        <v>24796054</v>
      </c>
      <c r="E211" s="1623">
        <v>0</v>
      </c>
      <c r="F211" s="1623">
        <v>0</v>
      </c>
      <c r="G211" s="1623">
        <v>0</v>
      </c>
      <c r="H211" s="1624">
        <v>24796054</v>
      </c>
      <c r="I211" s="1623">
        <v>123980.27</v>
      </c>
      <c r="J211" s="1623">
        <v>0</v>
      </c>
      <c r="K211" s="1623">
        <v>0</v>
      </c>
      <c r="L211" s="1623">
        <v>0</v>
      </c>
      <c r="M211" s="1624">
        <v>123980.27</v>
      </c>
    </row>
    <row r="212" spans="2:13">
      <c r="B212" s="1644">
        <v>7</v>
      </c>
      <c r="C212" s="1643" t="s">
        <v>171</v>
      </c>
      <c r="D212" s="1645">
        <v>5050000</v>
      </c>
      <c r="E212" s="1623">
        <v>0</v>
      </c>
      <c r="F212" s="1623">
        <v>0</v>
      </c>
      <c r="G212" s="1623">
        <v>0</v>
      </c>
      <c r="H212" s="1624">
        <v>5050000</v>
      </c>
      <c r="I212" s="1623">
        <v>25250</v>
      </c>
      <c r="J212" s="1623">
        <v>0</v>
      </c>
      <c r="K212" s="1623">
        <v>0</v>
      </c>
      <c r="L212" s="1623">
        <v>0</v>
      </c>
      <c r="M212" s="1624">
        <v>25250</v>
      </c>
    </row>
    <row r="213" spans="2:13">
      <c r="B213" s="1644">
        <v>8</v>
      </c>
      <c r="C213" s="1643" t="s">
        <v>173</v>
      </c>
      <c r="D213" s="1645">
        <v>10146800</v>
      </c>
      <c r="E213" s="1623">
        <v>0</v>
      </c>
      <c r="F213" s="1623">
        <v>0</v>
      </c>
      <c r="G213" s="1623">
        <v>0</v>
      </c>
      <c r="H213" s="1624">
        <v>10146800</v>
      </c>
      <c r="I213" s="1623">
        <v>50734</v>
      </c>
      <c r="J213" s="1623">
        <v>0</v>
      </c>
      <c r="K213" s="1623">
        <v>0</v>
      </c>
      <c r="L213" s="1623">
        <v>0</v>
      </c>
      <c r="M213" s="1624">
        <v>50734</v>
      </c>
    </row>
    <row r="214" spans="2:13">
      <c r="B214" s="1644">
        <v>9</v>
      </c>
      <c r="C214" s="1643" t="s">
        <v>1286</v>
      </c>
      <c r="D214" s="1645">
        <v>1680000</v>
      </c>
      <c r="E214" s="1623">
        <v>0</v>
      </c>
      <c r="F214" s="1623">
        <v>0</v>
      </c>
      <c r="G214" s="1623">
        <v>0</v>
      </c>
      <c r="H214" s="1624">
        <v>1680000</v>
      </c>
      <c r="I214" s="1623">
        <v>8400</v>
      </c>
      <c r="J214" s="1623">
        <v>0</v>
      </c>
      <c r="K214" s="1623">
        <v>0</v>
      </c>
      <c r="L214" s="1623">
        <v>0</v>
      </c>
      <c r="M214" s="1624">
        <v>8400</v>
      </c>
    </row>
    <row r="215" spans="2:13">
      <c r="B215" s="1644">
        <v>10</v>
      </c>
      <c r="C215" s="1643" t="s">
        <v>162</v>
      </c>
      <c r="D215" s="1645">
        <v>5535000</v>
      </c>
      <c r="E215" s="1623">
        <v>0</v>
      </c>
      <c r="F215" s="1623">
        <v>0</v>
      </c>
      <c r="G215" s="1623">
        <v>0</v>
      </c>
      <c r="H215" s="1624">
        <v>5535000</v>
      </c>
      <c r="I215" s="1623">
        <v>27675</v>
      </c>
      <c r="J215" s="1623">
        <v>0</v>
      </c>
      <c r="K215" s="1623">
        <v>0</v>
      </c>
      <c r="L215" s="1623">
        <v>0</v>
      </c>
      <c r="M215" s="1624">
        <v>27675</v>
      </c>
    </row>
    <row r="216" spans="2:13" ht="33.75">
      <c r="B216" s="1644">
        <v>11</v>
      </c>
      <c r="C216" s="1643" t="s">
        <v>1457</v>
      </c>
      <c r="D216" s="1645">
        <v>48923849.449999332</v>
      </c>
      <c r="E216" s="1623"/>
      <c r="F216" s="1623"/>
      <c r="G216" s="1623"/>
      <c r="H216" s="1624">
        <v>48923849.449999332</v>
      </c>
      <c r="I216" s="1623"/>
      <c r="J216" s="1623"/>
      <c r="K216" s="1623"/>
      <c r="L216" s="1623"/>
      <c r="M216" s="1624"/>
    </row>
    <row r="217" spans="2:13" ht="45">
      <c r="B217" s="1644">
        <v>12</v>
      </c>
      <c r="C217" s="1643" t="s">
        <v>1459</v>
      </c>
      <c r="D217" s="1645">
        <v>15530000</v>
      </c>
      <c r="E217" s="1623"/>
      <c r="F217" s="1623"/>
      <c r="G217" s="1623"/>
      <c r="H217" s="1624">
        <v>15530000</v>
      </c>
      <c r="I217" s="1623"/>
      <c r="J217" s="1623"/>
      <c r="K217" s="1623"/>
      <c r="L217" s="1623"/>
      <c r="M217" s="1624"/>
    </row>
    <row r="218" spans="2:13">
      <c r="B218" s="1644">
        <v>13</v>
      </c>
      <c r="C218" s="1643" t="s">
        <v>1303</v>
      </c>
      <c r="D218" s="1645">
        <v>33900000</v>
      </c>
      <c r="E218" s="1623">
        <v>0</v>
      </c>
      <c r="F218" s="1623">
        <v>0</v>
      </c>
      <c r="G218" s="1623">
        <v>0</v>
      </c>
      <c r="H218" s="1624">
        <v>33900000</v>
      </c>
      <c r="I218" s="1623">
        <v>169500</v>
      </c>
      <c r="J218" s="1623">
        <v>0</v>
      </c>
      <c r="K218" s="1623">
        <v>0</v>
      </c>
      <c r="L218" s="1623">
        <v>0</v>
      </c>
      <c r="M218" s="1624">
        <v>169500</v>
      </c>
    </row>
    <row r="219" spans="2:13">
      <c r="B219" s="1644">
        <v>14</v>
      </c>
      <c r="C219" s="1643" t="s">
        <v>1333</v>
      </c>
      <c r="D219" s="1645">
        <v>11135750</v>
      </c>
      <c r="E219" s="1623">
        <v>0</v>
      </c>
      <c r="F219" s="1623">
        <v>0</v>
      </c>
      <c r="G219" s="1623">
        <v>0</v>
      </c>
      <c r="H219" s="1624">
        <v>11135750</v>
      </c>
      <c r="I219" s="1623">
        <v>55678.75</v>
      </c>
      <c r="J219" s="1623">
        <v>0</v>
      </c>
      <c r="K219" s="1623">
        <v>0</v>
      </c>
      <c r="L219" s="1623">
        <v>0</v>
      </c>
      <c r="M219" s="1624">
        <v>55678.75</v>
      </c>
    </row>
    <row r="220" spans="2:13" ht="22.5">
      <c r="B220" s="1644">
        <v>15</v>
      </c>
      <c r="C220" s="1643" t="s">
        <v>1049</v>
      </c>
      <c r="D220" s="1645">
        <v>2110000</v>
      </c>
      <c r="E220" s="1623">
        <v>0</v>
      </c>
      <c r="F220" s="1623">
        <v>0</v>
      </c>
      <c r="G220" s="1623">
        <v>0</v>
      </c>
      <c r="H220" s="1624">
        <v>2110000</v>
      </c>
      <c r="I220" s="1623">
        <v>10550</v>
      </c>
      <c r="J220" s="1623">
        <v>0</v>
      </c>
      <c r="K220" s="1623">
        <v>0</v>
      </c>
      <c r="L220" s="1623">
        <v>0</v>
      </c>
      <c r="M220" s="1624">
        <v>10550</v>
      </c>
    </row>
    <row r="221" spans="2:13" ht="22.5">
      <c r="B221" s="1644">
        <v>16</v>
      </c>
      <c r="C221" s="1643" t="s">
        <v>1049</v>
      </c>
      <c r="D221" s="1645">
        <v>531250</v>
      </c>
      <c r="E221" s="1623"/>
      <c r="F221" s="1623"/>
      <c r="G221" s="1623"/>
      <c r="H221" s="1624">
        <v>531250</v>
      </c>
      <c r="I221" s="1623">
        <v>2656.25</v>
      </c>
      <c r="J221" s="1623">
        <v>0</v>
      </c>
      <c r="K221" s="1623">
        <v>0</v>
      </c>
      <c r="L221" s="1623">
        <v>0</v>
      </c>
      <c r="M221" s="1624">
        <v>2656.25</v>
      </c>
    </row>
    <row r="222" spans="2:13">
      <c r="B222" s="1644">
        <v>17</v>
      </c>
      <c r="C222" s="1643" t="s">
        <v>170</v>
      </c>
      <c r="D222" s="1645">
        <v>5865509</v>
      </c>
      <c r="E222" s="1623"/>
      <c r="F222" s="1623"/>
      <c r="G222" s="1623"/>
      <c r="H222" s="1624">
        <v>5865509</v>
      </c>
      <c r="I222" s="1623">
        <v>29327.545000000002</v>
      </c>
      <c r="J222" s="1623">
        <v>0</v>
      </c>
      <c r="K222" s="1623">
        <v>0</v>
      </c>
      <c r="L222" s="1623">
        <v>0</v>
      </c>
      <c r="M222" s="1624">
        <v>29327.545000000002</v>
      </c>
    </row>
    <row r="223" spans="2:13">
      <c r="B223" s="1644">
        <v>18</v>
      </c>
      <c r="C223" s="1643" t="s">
        <v>1067</v>
      </c>
      <c r="D223" s="1645">
        <v>6390000</v>
      </c>
      <c r="E223" s="1623"/>
      <c r="F223" s="1623"/>
      <c r="G223" s="1623"/>
      <c r="H223" s="1624">
        <v>6390000</v>
      </c>
      <c r="I223" s="1623">
        <v>31950</v>
      </c>
      <c r="J223" s="1623">
        <v>0</v>
      </c>
      <c r="K223" s="1623">
        <v>0</v>
      </c>
      <c r="L223" s="1623">
        <v>0</v>
      </c>
      <c r="M223" s="1624">
        <v>31950</v>
      </c>
    </row>
    <row r="224" spans="2:13" ht="22.5">
      <c r="B224" s="1644">
        <v>19</v>
      </c>
      <c r="C224" s="1643" t="s">
        <v>1397</v>
      </c>
      <c r="D224" s="1645">
        <v>5107476</v>
      </c>
      <c r="E224" s="1623"/>
      <c r="F224" s="1623"/>
      <c r="G224" s="1623"/>
      <c r="H224" s="1624">
        <v>5107476</v>
      </c>
      <c r="I224" s="1623">
        <v>25537.38</v>
      </c>
      <c r="J224" s="1623">
        <v>0</v>
      </c>
      <c r="K224" s="1623">
        <v>0</v>
      </c>
      <c r="L224" s="1623">
        <v>0</v>
      </c>
      <c r="M224" s="1624">
        <v>25537.38</v>
      </c>
    </row>
    <row r="225" spans="2:13">
      <c r="B225" s="1644">
        <v>20</v>
      </c>
      <c r="C225" s="1643" t="s">
        <v>189</v>
      </c>
      <c r="D225" s="1645">
        <v>9750000</v>
      </c>
      <c r="E225" s="1623"/>
      <c r="F225" s="1623"/>
      <c r="G225" s="1623"/>
      <c r="H225" s="1624">
        <v>9750000</v>
      </c>
      <c r="I225" s="1623">
        <v>48750</v>
      </c>
      <c r="J225" s="1623">
        <v>0</v>
      </c>
      <c r="K225" s="1623">
        <v>0</v>
      </c>
      <c r="L225" s="1623">
        <v>0</v>
      </c>
      <c r="M225" s="1624">
        <v>48750</v>
      </c>
    </row>
    <row r="226" spans="2:13" ht="22.5">
      <c r="B226" s="1644">
        <v>21</v>
      </c>
      <c r="C226" s="1643" t="s">
        <v>1423</v>
      </c>
      <c r="D226" s="1645">
        <v>9423000</v>
      </c>
      <c r="E226" s="1623"/>
      <c r="F226" s="1623"/>
      <c r="G226" s="1623"/>
      <c r="H226" s="1624">
        <v>9423000</v>
      </c>
      <c r="I226" s="1623">
        <v>47115</v>
      </c>
      <c r="J226" s="1623">
        <v>0</v>
      </c>
      <c r="K226" s="1623">
        <v>0</v>
      </c>
      <c r="L226" s="1623">
        <v>0</v>
      </c>
      <c r="M226" s="1624">
        <v>47115</v>
      </c>
    </row>
    <row r="227" spans="2:13" ht="22.5">
      <c r="B227" s="1644">
        <v>22</v>
      </c>
      <c r="C227" s="1643" t="s">
        <v>1429</v>
      </c>
      <c r="D227" s="1645">
        <v>4550000</v>
      </c>
      <c r="E227" s="1623"/>
      <c r="F227" s="1623"/>
      <c r="G227" s="1623"/>
      <c r="H227" s="1624">
        <v>4550000</v>
      </c>
      <c r="I227" s="1623">
        <v>22750</v>
      </c>
      <c r="J227" s="1623">
        <v>0</v>
      </c>
      <c r="K227" s="1623">
        <v>0</v>
      </c>
      <c r="L227" s="1623">
        <v>0</v>
      </c>
      <c r="M227" s="1624">
        <v>22750</v>
      </c>
    </row>
    <row r="228" spans="2:13">
      <c r="B228" s="1644">
        <v>23</v>
      </c>
      <c r="C228" s="1643" t="s">
        <v>156</v>
      </c>
      <c r="D228" s="1645">
        <v>1440000</v>
      </c>
      <c r="E228" s="1623"/>
      <c r="F228" s="1623"/>
      <c r="G228" s="1623"/>
      <c r="H228" s="1624">
        <v>1440000</v>
      </c>
      <c r="I228" s="1623">
        <v>7200</v>
      </c>
      <c r="J228" s="1623">
        <v>0</v>
      </c>
      <c r="K228" s="1623">
        <v>0</v>
      </c>
      <c r="L228" s="1623">
        <v>0</v>
      </c>
      <c r="M228" s="1624">
        <v>7200</v>
      </c>
    </row>
    <row r="229" spans="2:13">
      <c r="B229" s="1644">
        <v>24</v>
      </c>
      <c r="C229" s="1643" t="s">
        <v>1439</v>
      </c>
      <c r="D229" s="1645">
        <v>8819520</v>
      </c>
      <c r="E229" s="1623"/>
      <c r="F229" s="1623"/>
      <c r="G229" s="1623"/>
      <c r="H229" s="1624">
        <v>8819520</v>
      </c>
      <c r="I229" s="1623">
        <v>44097.599999999999</v>
      </c>
      <c r="J229" s="1623">
        <v>0</v>
      </c>
      <c r="K229" s="1623">
        <v>0</v>
      </c>
      <c r="L229" s="1623">
        <v>0</v>
      </c>
      <c r="M229" s="1624">
        <v>44097.599999999999</v>
      </c>
    </row>
    <row r="230" spans="2:13">
      <c r="B230" s="1644">
        <v>25</v>
      </c>
      <c r="C230" s="1643" t="s">
        <v>1359</v>
      </c>
      <c r="D230" s="1645">
        <v>28852050</v>
      </c>
      <c r="E230" s="1623">
        <v>0</v>
      </c>
      <c r="F230" s="1623">
        <v>0</v>
      </c>
      <c r="G230" s="1623">
        <v>0</v>
      </c>
      <c r="H230" s="1624">
        <v>28852050</v>
      </c>
      <c r="I230" s="1623">
        <v>144260.25</v>
      </c>
      <c r="J230" s="1623">
        <v>0</v>
      </c>
      <c r="K230" s="1623">
        <v>0</v>
      </c>
      <c r="L230" s="1623">
        <v>0</v>
      </c>
      <c r="M230" s="1624">
        <v>144260.25</v>
      </c>
    </row>
    <row r="231" spans="2:13">
      <c r="B231" s="1644">
        <v>26</v>
      </c>
      <c r="C231" s="1643" t="s">
        <v>166</v>
      </c>
      <c r="D231" s="1645">
        <v>2587000</v>
      </c>
      <c r="E231" s="1623">
        <v>0</v>
      </c>
      <c r="F231" s="1623">
        <v>0</v>
      </c>
      <c r="G231" s="1623">
        <v>0</v>
      </c>
      <c r="H231" s="1624">
        <v>2587000</v>
      </c>
      <c r="I231" s="1623">
        <v>12935</v>
      </c>
      <c r="J231" s="1623">
        <v>0</v>
      </c>
      <c r="K231" s="1623">
        <v>0</v>
      </c>
      <c r="L231" s="1623">
        <v>0</v>
      </c>
      <c r="M231" s="1624">
        <v>12935</v>
      </c>
    </row>
    <row r="232" spans="2:13" ht="22.5">
      <c r="B232" s="1644">
        <v>27</v>
      </c>
      <c r="C232" s="1643" t="s">
        <v>1387</v>
      </c>
      <c r="D232" s="1645">
        <v>4154000</v>
      </c>
      <c r="E232" s="1623">
        <v>0</v>
      </c>
      <c r="F232" s="1623">
        <v>0</v>
      </c>
      <c r="G232" s="1623">
        <v>0</v>
      </c>
      <c r="H232" s="1624">
        <v>4154000</v>
      </c>
      <c r="I232" s="1623">
        <v>20770</v>
      </c>
      <c r="J232" s="1623">
        <v>0</v>
      </c>
      <c r="K232" s="1623">
        <v>0</v>
      </c>
      <c r="L232" s="1623">
        <v>0</v>
      </c>
      <c r="M232" s="1624">
        <v>20770</v>
      </c>
    </row>
    <row r="233" spans="2:13">
      <c r="B233" s="1644">
        <v>28</v>
      </c>
      <c r="C233" s="1643" t="s">
        <v>192</v>
      </c>
      <c r="D233" s="1645">
        <v>5140500</v>
      </c>
      <c r="E233" s="1623">
        <v>0</v>
      </c>
      <c r="F233" s="1623">
        <v>0</v>
      </c>
      <c r="G233" s="1623">
        <v>0</v>
      </c>
      <c r="H233" s="1624">
        <v>5140500</v>
      </c>
      <c r="I233" s="1623">
        <v>25702.5</v>
      </c>
      <c r="J233" s="1623">
        <v>0</v>
      </c>
      <c r="K233" s="1623">
        <v>0</v>
      </c>
      <c r="L233" s="1623">
        <v>0</v>
      </c>
      <c r="M233" s="1624">
        <v>25702.5</v>
      </c>
    </row>
    <row r="234" spans="2:13">
      <c r="B234" s="1644">
        <v>29</v>
      </c>
      <c r="C234" s="1643" t="s">
        <v>1404</v>
      </c>
      <c r="D234" s="1645">
        <v>478000</v>
      </c>
      <c r="E234" s="1623">
        <v>0</v>
      </c>
      <c r="F234" s="1623">
        <v>0</v>
      </c>
      <c r="G234" s="1623">
        <v>0</v>
      </c>
      <c r="H234" s="1624">
        <v>478000</v>
      </c>
      <c r="I234" s="1623">
        <v>2390</v>
      </c>
      <c r="J234" s="1623">
        <v>0</v>
      </c>
      <c r="K234" s="1623">
        <v>0</v>
      </c>
      <c r="L234" s="1623">
        <v>0</v>
      </c>
      <c r="M234" s="1624">
        <v>2390</v>
      </c>
    </row>
    <row r="235" spans="2:13" ht="22.5">
      <c r="B235" s="1644">
        <v>30</v>
      </c>
      <c r="C235" s="1643" t="s">
        <v>1408</v>
      </c>
      <c r="D235" s="1645">
        <v>1898250</v>
      </c>
      <c r="E235" s="1623">
        <v>0</v>
      </c>
      <c r="F235" s="1623">
        <v>0</v>
      </c>
      <c r="G235" s="1623">
        <v>0</v>
      </c>
      <c r="H235" s="1624">
        <v>1898250</v>
      </c>
      <c r="I235" s="1623">
        <v>9491.25</v>
      </c>
      <c r="J235" s="1623">
        <v>0</v>
      </c>
      <c r="K235" s="1623">
        <v>0</v>
      </c>
      <c r="L235" s="1623">
        <v>0</v>
      </c>
      <c r="M235" s="1624">
        <v>9491.25</v>
      </c>
    </row>
    <row r="236" spans="2:13" ht="33.75">
      <c r="B236" s="1644">
        <v>31</v>
      </c>
      <c r="C236" s="1643" t="s">
        <v>1414</v>
      </c>
      <c r="D236" s="1645">
        <v>3854265</v>
      </c>
      <c r="E236" s="1623">
        <v>0</v>
      </c>
      <c r="F236" s="1623">
        <v>0</v>
      </c>
      <c r="G236" s="1623">
        <v>0</v>
      </c>
      <c r="H236" s="1624">
        <v>3854265</v>
      </c>
      <c r="I236" s="1623">
        <v>19271.325000000001</v>
      </c>
      <c r="J236" s="1623">
        <v>0</v>
      </c>
      <c r="K236" s="1623">
        <v>0</v>
      </c>
      <c r="L236" s="1623">
        <v>0</v>
      </c>
      <c r="M236" s="1624">
        <v>19271.325000000001</v>
      </c>
    </row>
    <row r="237" spans="2:13" ht="45">
      <c r="B237" s="1644">
        <v>32</v>
      </c>
      <c r="C237" s="1627" t="s">
        <v>1114</v>
      </c>
      <c r="D237" s="1628">
        <v>40244700</v>
      </c>
      <c r="E237" s="1623">
        <v>0</v>
      </c>
      <c r="F237" s="1623">
        <v>0</v>
      </c>
      <c r="G237" s="1623">
        <v>0</v>
      </c>
      <c r="H237" s="1624">
        <v>40244700</v>
      </c>
      <c r="I237" s="1623">
        <v>201223.5</v>
      </c>
      <c r="J237" s="1623">
        <v>0</v>
      </c>
      <c r="K237" s="1623">
        <v>0</v>
      </c>
      <c r="L237" s="1623">
        <v>0</v>
      </c>
      <c r="M237" s="1624">
        <v>201223.5</v>
      </c>
    </row>
    <row r="238" spans="2:13" ht="56.25">
      <c r="B238" s="1644">
        <v>33</v>
      </c>
      <c r="C238" s="1627" t="s">
        <v>1116</v>
      </c>
      <c r="D238" s="1628">
        <v>87799100</v>
      </c>
      <c r="E238" s="1623">
        <v>0</v>
      </c>
      <c r="F238" s="1623">
        <v>0</v>
      </c>
      <c r="G238" s="1623">
        <v>0</v>
      </c>
      <c r="H238" s="1624">
        <v>87799100</v>
      </c>
      <c r="I238" s="1623">
        <v>438995.5</v>
      </c>
      <c r="J238" s="1623">
        <v>0</v>
      </c>
      <c r="K238" s="1623">
        <v>0</v>
      </c>
      <c r="L238" s="1623">
        <v>0</v>
      </c>
      <c r="M238" s="1624">
        <v>438995.5</v>
      </c>
    </row>
    <row r="239" spans="2:13" ht="56.25">
      <c r="B239" s="1644">
        <v>34</v>
      </c>
      <c r="C239" s="1627" t="s">
        <v>1137</v>
      </c>
      <c r="D239" s="1628">
        <v>29007000</v>
      </c>
      <c r="E239" s="1623">
        <v>0</v>
      </c>
      <c r="F239" s="1623">
        <v>0</v>
      </c>
      <c r="G239" s="1623">
        <v>0</v>
      </c>
      <c r="H239" s="1624">
        <v>29007000</v>
      </c>
      <c r="I239" s="1623">
        <v>145035</v>
      </c>
      <c r="J239" s="1623">
        <v>0</v>
      </c>
      <c r="K239" s="1623">
        <v>0</v>
      </c>
      <c r="L239" s="1623">
        <v>0</v>
      </c>
      <c r="M239" s="1624">
        <v>145035</v>
      </c>
    </row>
    <row r="240" spans="2:13" ht="45">
      <c r="B240" s="1644">
        <v>35</v>
      </c>
      <c r="C240" s="1627" t="s">
        <v>1147</v>
      </c>
      <c r="D240" s="1628">
        <v>563684462</v>
      </c>
      <c r="E240" s="1623">
        <v>0</v>
      </c>
      <c r="F240" s="1623">
        <v>0</v>
      </c>
      <c r="G240" s="1623">
        <v>0</v>
      </c>
      <c r="H240" s="1624">
        <v>563684462</v>
      </c>
      <c r="I240" s="1623">
        <v>2818422.31</v>
      </c>
      <c r="J240" s="1623">
        <v>0</v>
      </c>
      <c r="K240" s="1623">
        <v>0</v>
      </c>
      <c r="L240" s="1623">
        <v>0</v>
      </c>
      <c r="M240" s="1624">
        <v>2818422.31</v>
      </c>
    </row>
    <row r="241" spans="2:14" ht="45">
      <c r="B241" s="1644">
        <v>36</v>
      </c>
      <c r="C241" s="1627" t="s">
        <v>1148</v>
      </c>
      <c r="D241" s="1628">
        <v>109610000</v>
      </c>
      <c r="E241" s="1623">
        <v>0</v>
      </c>
      <c r="F241" s="1623">
        <v>0</v>
      </c>
      <c r="G241" s="1623">
        <v>0</v>
      </c>
      <c r="H241" s="1624">
        <v>109610000</v>
      </c>
      <c r="I241" s="1623">
        <v>548050</v>
      </c>
      <c r="J241" s="1623">
        <v>0</v>
      </c>
      <c r="K241" s="1623">
        <v>0</v>
      </c>
      <c r="L241" s="1623">
        <v>0</v>
      </c>
      <c r="M241" s="1624">
        <v>548050</v>
      </c>
    </row>
    <row r="242" spans="2:14" ht="33.75">
      <c r="B242" s="1644">
        <v>37</v>
      </c>
      <c r="C242" s="1627" t="s">
        <v>965</v>
      </c>
      <c r="D242" s="1628">
        <v>19250000</v>
      </c>
      <c r="E242" s="1623">
        <v>0</v>
      </c>
      <c r="F242" s="1623">
        <v>0</v>
      </c>
      <c r="G242" s="1623">
        <v>0</v>
      </c>
      <c r="H242" s="1624">
        <v>19250000</v>
      </c>
      <c r="I242" s="1623">
        <v>96250</v>
      </c>
      <c r="J242" s="1623">
        <v>0</v>
      </c>
      <c r="K242" s="1623">
        <v>0</v>
      </c>
      <c r="L242" s="1623">
        <v>0</v>
      </c>
      <c r="M242" s="1624">
        <v>96250</v>
      </c>
    </row>
    <row r="243" spans="2:14">
      <c r="B243" s="1644">
        <v>38</v>
      </c>
      <c r="C243" s="1627" t="s">
        <v>171</v>
      </c>
      <c r="D243" s="1628">
        <v>5921000</v>
      </c>
      <c r="E243" s="1623">
        <v>0</v>
      </c>
      <c r="F243" s="1623">
        <v>0</v>
      </c>
      <c r="G243" s="1623">
        <v>0</v>
      </c>
      <c r="H243" s="1624">
        <v>5921000</v>
      </c>
      <c r="I243" s="1623">
        <v>29605</v>
      </c>
      <c r="J243" s="1623">
        <v>0</v>
      </c>
      <c r="K243" s="1623">
        <v>0</v>
      </c>
      <c r="L243" s="1623">
        <v>0</v>
      </c>
      <c r="M243" s="1624">
        <v>29605</v>
      </c>
    </row>
    <row r="244" spans="2:14">
      <c r="B244" s="1644">
        <v>39</v>
      </c>
      <c r="C244" s="1627" t="s">
        <v>1043</v>
      </c>
      <c r="D244" s="1628">
        <v>36177300</v>
      </c>
      <c r="E244" s="1623">
        <v>0</v>
      </c>
      <c r="F244" s="1623">
        <v>0</v>
      </c>
      <c r="G244" s="1623">
        <v>0</v>
      </c>
      <c r="H244" s="1624">
        <v>36177300</v>
      </c>
      <c r="I244" s="1623">
        <v>180886.5</v>
      </c>
      <c r="J244" s="1623">
        <v>0</v>
      </c>
      <c r="K244" s="1623">
        <v>0</v>
      </c>
      <c r="L244" s="1623">
        <v>0</v>
      </c>
      <c r="M244" s="1624">
        <v>180886.5</v>
      </c>
    </row>
    <row r="245" spans="2:14" ht="22.5">
      <c r="B245" s="1644">
        <v>40</v>
      </c>
      <c r="C245" s="1627" t="s">
        <v>1049</v>
      </c>
      <c r="D245" s="1628">
        <v>7825000</v>
      </c>
      <c r="E245" s="1623">
        <v>0</v>
      </c>
      <c r="F245" s="1623">
        <v>0</v>
      </c>
      <c r="G245" s="1623">
        <v>0</v>
      </c>
      <c r="H245" s="1624">
        <v>7825000</v>
      </c>
      <c r="I245" s="1623">
        <v>39125</v>
      </c>
      <c r="J245" s="1623">
        <v>0</v>
      </c>
      <c r="K245" s="1623">
        <v>0</v>
      </c>
      <c r="L245" s="1623">
        <v>0</v>
      </c>
      <c r="M245" s="1624">
        <v>39125</v>
      </c>
    </row>
    <row r="246" spans="2:14" ht="22.5">
      <c r="B246" s="1644">
        <v>41</v>
      </c>
      <c r="C246" s="1627" t="s">
        <v>1049</v>
      </c>
      <c r="D246" s="1628">
        <v>3250000</v>
      </c>
      <c r="E246" s="1623">
        <v>0</v>
      </c>
      <c r="F246" s="1623">
        <v>0</v>
      </c>
      <c r="G246" s="1623">
        <v>0</v>
      </c>
      <c r="H246" s="1624">
        <v>3250000</v>
      </c>
      <c r="I246" s="1623">
        <v>16250</v>
      </c>
      <c r="J246" s="1623">
        <v>0</v>
      </c>
      <c r="K246" s="1623">
        <v>0</v>
      </c>
      <c r="L246" s="1623">
        <v>0</v>
      </c>
      <c r="M246" s="1624">
        <v>16250</v>
      </c>
    </row>
    <row r="247" spans="2:14">
      <c r="B247" s="1644">
        <v>42</v>
      </c>
      <c r="C247" s="1627" t="s">
        <v>170</v>
      </c>
      <c r="D247" s="1628">
        <v>5052675</v>
      </c>
      <c r="E247" s="1623">
        <v>0</v>
      </c>
      <c r="F247" s="1623">
        <v>0</v>
      </c>
      <c r="G247" s="1623">
        <v>0</v>
      </c>
      <c r="H247" s="1624">
        <v>5052675</v>
      </c>
      <c r="I247" s="1623">
        <v>25263.375</v>
      </c>
      <c r="J247" s="1623">
        <v>0</v>
      </c>
      <c r="K247" s="1623">
        <v>0</v>
      </c>
      <c r="L247" s="1623">
        <v>0</v>
      </c>
      <c r="M247" s="1624">
        <v>25263.375</v>
      </c>
    </row>
    <row r="248" spans="2:14">
      <c r="B248" s="1644">
        <v>43</v>
      </c>
      <c r="C248" s="1627" t="s">
        <v>1067</v>
      </c>
      <c r="D248" s="1628">
        <v>13228313.43</v>
      </c>
      <c r="E248" s="1623">
        <v>0</v>
      </c>
      <c r="F248" s="1623">
        <v>0</v>
      </c>
      <c r="G248" s="1623">
        <v>0</v>
      </c>
      <c r="H248" s="1624">
        <v>13228313.43</v>
      </c>
      <c r="I248" s="1623">
        <v>66141.567150000003</v>
      </c>
      <c r="J248" s="1623">
        <v>0</v>
      </c>
      <c r="K248" s="1623">
        <v>0</v>
      </c>
      <c r="L248" s="1623">
        <v>0</v>
      </c>
      <c r="M248" s="1624">
        <v>66141.567150000003</v>
      </c>
    </row>
    <row r="249" spans="2:14">
      <c r="B249" s="1644">
        <v>44</v>
      </c>
      <c r="C249" s="1627" t="s">
        <v>189</v>
      </c>
      <c r="D249" s="1628">
        <v>12800000</v>
      </c>
      <c r="E249" s="1623">
        <v>0</v>
      </c>
      <c r="F249" s="1623">
        <v>0</v>
      </c>
      <c r="G249" s="1623">
        <v>0</v>
      </c>
      <c r="H249" s="1624">
        <v>12800000</v>
      </c>
      <c r="I249" s="1623">
        <v>64000</v>
      </c>
      <c r="J249" s="1623">
        <v>0</v>
      </c>
      <c r="K249" s="1623">
        <v>0</v>
      </c>
      <c r="L249" s="1623">
        <v>0</v>
      </c>
      <c r="M249" s="1624">
        <v>64000</v>
      </c>
    </row>
    <row r="250" spans="2:14">
      <c r="B250" s="1644">
        <v>45</v>
      </c>
      <c r="C250" s="1627" t="s">
        <v>1078</v>
      </c>
      <c r="D250" s="1628">
        <v>7276300</v>
      </c>
      <c r="E250" s="1623">
        <v>0</v>
      </c>
      <c r="F250" s="1623">
        <v>0</v>
      </c>
      <c r="G250" s="1623">
        <v>0</v>
      </c>
      <c r="H250" s="1624">
        <v>7276300</v>
      </c>
      <c r="I250" s="1623">
        <v>36381.5</v>
      </c>
      <c r="J250" s="1623">
        <v>0</v>
      </c>
      <c r="K250" s="1623">
        <v>0</v>
      </c>
      <c r="L250" s="1623">
        <v>0</v>
      </c>
      <c r="M250" s="1624">
        <v>36381.5</v>
      </c>
    </row>
    <row r="251" spans="2:14" ht="22.5">
      <c r="B251" s="1644">
        <v>46</v>
      </c>
      <c r="C251" s="1627" t="s">
        <v>1083</v>
      </c>
      <c r="D251" s="1628">
        <v>38917112</v>
      </c>
      <c r="E251" s="1623">
        <v>0</v>
      </c>
      <c r="F251" s="1623">
        <v>0</v>
      </c>
      <c r="G251" s="1623">
        <v>0</v>
      </c>
      <c r="H251" s="1624">
        <v>38917112</v>
      </c>
      <c r="I251" s="1623">
        <v>194585.56</v>
      </c>
      <c r="J251" s="1623">
        <v>0</v>
      </c>
      <c r="K251" s="1623">
        <v>0</v>
      </c>
      <c r="L251" s="1623">
        <v>0</v>
      </c>
      <c r="M251" s="1624">
        <v>194585.56</v>
      </c>
    </row>
    <row r="252" spans="2:14">
      <c r="B252" s="1644">
        <v>47</v>
      </c>
      <c r="C252" s="1627" t="s">
        <v>1097</v>
      </c>
      <c r="D252" s="1628">
        <v>16682858.550000001</v>
      </c>
      <c r="E252" s="1623">
        <v>0</v>
      </c>
      <c r="F252" s="1623">
        <v>0</v>
      </c>
      <c r="G252" s="1623">
        <v>0</v>
      </c>
      <c r="H252" s="1624">
        <v>16682858.550000001</v>
      </c>
      <c r="I252" s="1623">
        <v>83414.292750000008</v>
      </c>
      <c r="J252" s="1623">
        <v>0</v>
      </c>
      <c r="K252" s="1623">
        <v>0</v>
      </c>
      <c r="L252" s="1623">
        <v>0</v>
      </c>
      <c r="M252" s="1624">
        <v>83414.292750000008</v>
      </c>
    </row>
    <row r="253" spans="2:14" ht="45">
      <c r="B253" s="1644">
        <v>48</v>
      </c>
      <c r="C253" s="1627" t="s">
        <v>982</v>
      </c>
      <c r="D253" s="1628">
        <v>1800000</v>
      </c>
      <c r="E253" s="1623">
        <v>0</v>
      </c>
      <c r="F253" s="1623">
        <v>0</v>
      </c>
      <c r="G253" s="1623">
        <v>0</v>
      </c>
      <c r="H253" s="1624">
        <v>1800000</v>
      </c>
      <c r="I253" s="1623">
        <v>9000</v>
      </c>
      <c r="J253" s="1623">
        <v>0</v>
      </c>
      <c r="K253" s="1623">
        <v>0</v>
      </c>
      <c r="L253" s="1623">
        <v>0</v>
      </c>
      <c r="M253" s="1624">
        <v>9000</v>
      </c>
    </row>
    <row r="254" spans="2:14">
      <c r="B254" s="1612"/>
      <c r="C254" s="1613"/>
      <c r="D254" s="1614"/>
      <c r="E254" s="1614"/>
      <c r="F254" s="1614"/>
      <c r="G254" s="1614"/>
      <c r="H254" s="1625"/>
      <c r="I254" s="1614"/>
      <c r="J254" s="1614"/>
      <c r="K254" s="1614"/>
      <c r="L254" s="1614"/>
      <c r="M254" s="1625"/>
    </row>
    <row r="255" spans="2:14">
      <c r="B255" s="2050" t="s">
        <v>1542</v>
      </c>
      <c r="C255" s="2051"/>
      <c r="D255" s="1616">
        <v>108709200</v>
      </c>
      <c r="E255" s="1616">
        <v>0</v>
      </c>
      <c r="F255" s="1616">
        <v>0</v>
      </c>
      <c r="G255" s="1616">
        <v>43000</v>
      </c>
      <c r="H255" s="1616">
        <v>108752200</v>
      </c>
      <c r="I255" s="1616">
        <v>543546</v>
      </c>
      <c r="J255" s="1616">
        <v>0</v>
      </c>
      <c r="K255" s="1616">
        <v>0</v>
      </c>
      <c r="L255" s="1616">
        <v>43000</v>
      </c>
      <c r="M255" s="1616">
        <v>586546</v>
      </c>
      <c r="N255" s="1646"/>
    </row>
    <row r="256" spans="2:14">
      <c r="B256" s="1612">
        <v>1</v>
      </c>
      <c r="C256" s="1613" t="s">
        <v>1543</v>
      </c>
      <c r="D256" s="1614">
        <v>0</v>
      </c>
      <c r="E256" s="1614">
        <v>0</v>
      </c>
      <c r="F256" s="1614">
        <v>0</v>
      </c>
      <c r="G256" s="1614">
        <v>43000</v>
      </c>
      <c r="H256" s="1625">
        <v>43000</v>
      </c>
      <c r="I256" s="1614">
        <v>0</v>
      </c>
      <c r="J256" s="1614">
        <v>0</v>
      </c>
      <c r="K256" s="1614">
        <v>0</v>
      </c>
      <c r="L256" s="1614">
        <v>43000</v>
      </c>
      <c r="M256" s="1625">
        <v>43000</v>
      </c>
    </row>
    <row r="257" spans="2:14">
      <c r="B257" s="1612">
        <v>2</v>
      </c>
      <c r="C257" s="1613" t="s">
        <v>1544</v>
      </c>
      <c r="D257" s="1614">
        <v>0</v>
      </c>
      <c r="E257" s="1614">
        <v>0</v>
      </c>
      <c r="F257" s="1614">
        <v>0</v>
      </c>
      <c r="G257" s="1614">
        <v>0</v>
      </c>
      <c r="H257" s="1625">
        <v>108709200</v>
      </c>
      <c r="I257" s="1614">
        <v>543546</v>
      </c>
      <c r="J257" s="1614">
        <v>0</v>
      </c>
      <c r="K257" s="1614">
        <v>0</v>
      </c>
      <c r="L257" s="1614">
        <v>0</v>
      </c>
      <c r="M257" s="1625">
        <v>543546</v>
      </c>
    </row>
    <row r="258" spans="2:14">
      <c r="B258" s="1612"/>
      <c r="C258" s="1613"/>
      <c r="D258" s="1614"/>
      <c r="E258" s="1614"/>
      <c r="F258" s="1614"/>
      <c r="G258" s="1614"/>
      <c r="H258" s="1625"/>
      <c r="I258" s="1614"/>
      <c r="J258" s="1614"/>
      <c r="K258" s="1614"/>
      <c r="L258" s="1614"/>
      <c r="M258" s="1625"/>
    </row>
    <row r="259" spans="2:14" ht="20.25" customHeight="1">
      <c r="B259" s="2052" t="s">
        <v>2729</v>
      </c>
      <c r="C259" s="2053"/>
      <c r="D259" s="1647">
        <v>1937230586.0299993</v>
      </c>
      <c r="E259" s="1647">
        <v>1729244737.02</v>
      </c>
      <c r="F259" s="1647">
        <v>0</v>
      </c>
      <c r="G259" s="1647">
        <v>2407033239.3699999</v>
      </c>
      <c r="H259" s="1647">
        <v>6073508562.4199991</v>
      </c>
      <c r="I259" s="1647">
        <v>17373293.83625</v>
      </c>
      <c r="J259" s="1647">
        <v>18611770.835000001</v>
      </c>
      <c r="K259" s="1647">
        <v>97101000</v>
      </c>
      <c r="L259" s="1647">
        <v>3093976406.4400001</v>
      </c>
      <c r="M259" s="1647">
        <v>3227062471.1112499</v>
      </c>
      <c r="N259" s="1583"/>
    </row>
    <row r="260" spans="2:14">
      <c r="B260" s="2054" t="s">
        <v>2730</v>
      </c>
      <c r="C260" s="2055"/>
      <c r="D260" s="1648">
        <f t="shared" ref="D260:M260" si="0">D10+D39+D56+D74+D129+D255</f>
        <v>4206936368.7599993</v>
      </c>
      <c r="E260" s="1648">
        <f t="shared" si="0"/>
        <v>1774231794.55</v>
      </c>
      <c r="F260" s="1648">
        <f t="shared" si="0"/>
        <v>21398100</v>
      </c>
      <c r="G260" s="1648">
        <f t="shared" si="0"/>
        <v>2429715639.3699999</v>
      </c>
      <c r="H260" s="1648">
        <f t="shared" si="0"/>
        <v>8432281902.6799994</v>
      </c>
      <c r="I260" s="1648">
        <f t="shared" si="0"/>
        <v>28542228.249899998</v>
      </c>
      <c r="J260" s="1648">
        <f t="shared" si="0"/>
        <v>26702366.588</v>
      </c>
      <c r="K260" s="1648">
        <f t="shared" si="0"/>
        <v>119141250</v>
      </c>
      <c r="L260" s="1648">
        <f t="shared" si="0"/>
        <v>3093976406.4400001</v>
      </c>
      <c r="M260" s="1648">
        <f t="shared" si="0"/>
        <v>3268362251.2779002</v>
      </c>
    </row>
    <row r="261" spans="2:14" ht="12.75">
      <c r="B261" s="1540"/>
      <c r="C261" s="1540"/>
      <c r="D261" s="1540"/>
      <c r="E261" s="1540"/>
      <c r="F261" s="1540"/>
      <c r="G261" s="1540"/>
      <c r="H261" s="1649"/>
      <c r="I261" s="1540"/>
      <c r="J261" s="1540"/>
      <c r="K261" s="1540"/>
      <c r="L261" s="1540"/>
      <c r="M261" s="1600"/>
    </row>
    <row r="262" spans="2:14" ht="12.75">
      <c r="B262" s="1540"/>
      <c r="C262" s="1540"/>
      <c r="D262" s="1540"/>
      <c r="E262" s="1540"/>
      <c r="F262" s="1540"/>
      <c r="G262" s="1540"/>
      <c r="H262" s="1650"/>
      <c r="I262" s="1540"/>
      <c r="J262" s="1540"/>
      <c r="K262" s="1540"/>
      <c r="L262" s="1540"/>
      <c r="M262" s="1540"/>
    </row>
    <row r="263" spans="2:14" ht="12.75">
      <c r="B263" s="1540"/>
      <c r="C263" s="1540"/>
      <c r="D263" s="1540"/>
      <c r="E263" s="1540"/>
      <c r="F263" s="1540"/>
      <c r="G263" s="1540"/>
      <c r="H263" s="1649"/>
      <c r="I263" s="1540"/>
      <c r="J263" s="1540"/>
      <c r="K263" s="1540"/>
      <c r="L263" s="1540"/>
      <c r="M263" s="1651"/>
    </row>
    <row r="264" spans="2:14" ht="12.75">
      <c r="B264" s="1540"/>
      <c r="C264" s="1540"/>
      <c r="D264" s="1540"/>
      <c r="E264" s="1540"/>
      <c r="F264" s="1540"/>
      <c r="G264" s="1649"/>
      <c r="H264" s="1649"/>
      <c r="I264" s="1649"/>
      <c r="J264" s="1650"/>
      <c r="K264" s="1540"/>
      <c r="L264" s="1540"/>
      <c r="M264" s="1540"/>
    </row>
    <row r="265" spans="2:14" ht="12.75">
      <c r="B265" s="1540"/>
      <c r="C265" s="1540"/>
      <c r="D265" s="1540"/>
      <c r="E265" s="1540"/>
      <c r="F265" s="1540"/>
      <c r="G265" s="1650"/>
      <c r="H265" s="1652"/>
      <c r="I265" s="1540"/>
      <c r="J265" s="1540"/>
      <c r="K265" s="1540"/>
      <c r="L265" s="1540"/>
      <c r="M265" s="1540"/>
    </row>
    <row r="266" spans="2:14" ht="12.75">
      <c r="B266" s="1540"/>
      <c r="C266" s="1540"/>
      <c r="D266" s="1540"/>
      <c r="E266" s="1540"/>
      <c r="F266" s="1540"/>
      <c r="G266" s="1540"/>
      <c r="H266" s="1652"/>
      <c r="I266" s="1540"/>
      <c r="J266" s="1540"/>
      <c r="K266" s="1540"/>
      <c r="L266" s="1540"/>
      <c r="M266" s="1540"/>
    </row>
    <row r="267" spans="2:14" ht="12.75">
      <c r="B267" s="1540"/>
      <c r="C267" s="1540"/>
      <c r="D267" s="1540"/>
      <c r="E267" s="1540"/>
      <c r="F267" s="1540"/>
      <c r="G267" s="1540"/>
      <c r="H267" s="1650"/>
      <c r="I267" s="1650"/>
      <c r="J267" s="1540"/>
      <c r="K267" s="1540"/>
      <c r="L267" s="1540"/>
      <c r="M267" s="1540"/>
    </row>
  </sheetData>
  <mergeCells count="24">
    <mergeCell ref="B3:M3"/>
    <mergeCell ref="B4:M4"/>
    <mergeCell ref="B6:B8"/>
    <mergeCell ref="C6:C8"/>
    <mergeCell ref="D6:H6"/>
    <mergeCell ref="I6:M6"/>
    <mergeCell ref="M7:M8"/>
    <mergeCell ref="B52:B54"/>
    <mergeCell ref="C52:C54"/>
    <mergeCell ref="D52:H52"/>
    <mergeCell ref="I52:M52"/>
    <mergeCell ref="H53:H54"/>
    <mergeCell ref="M53:M54"/>
    <mergeCell ref="B129:C129"/>
    <mergeCell ref="B255:C255"/>
    <mergeCell ref="B259:C259"/>
    <mergeCell ref="B260:C260"/>
    <mergeCell ref="B121:C121"/>
    <mergeCell ref="B123:M123"/>
    <mergeCell ref="B124:M124"/>
    <mergeCell ref="B126:B127"/>
    <mergeCell ref="C126:C127"/>
    <mergeCell ref="D126:H126"/>
    <mergeCell ref="I126:M126"/>
  </mergeCells>
  <pageMargins left="0.70866141732283472" right="0.38" top="0.74803149606299213" bottom="0.74803149606299213" header="0.31496062992125984" footer="0.31496062992125984"/>
  <pageSetup paperSize="9" scale="80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32</vt:i4>
      </vt:variant>
      <vt:variant>
        <vt:lpstr>Named Ranges</vt:lpstr>
      </vt:variant>
      <vt:variant>
        <vt:i4>10</vt:i4>
      </vt:variant>
    </vt:vector>
  </HeadingPairs>
  <TitlesOfParts>
    <vt:vector size="42" baseType="lpstr">
      <vt:lpstr>I REKAP RETRIBUSI </vt:lpstr>
      <vt:lpstr>II.REALISASI DAK</vt:lpstr>
      <vt:lpstr>III.REKAP PENERIMAAN BOS</vt:lpstr>
      <vt:lpstr>IV. REKAP SPJ FUNGSIONAL 2018</vt:lpstr>
      <vt:lpstr>V PENGEMBALIAN BP</vt:lpstr>
      <vt:lpstr>VI DAFTAR PIUTANG Pnd RETRI</vt:lpstr>
      <vt:lpstr>VII TAGIHAN ANGSURAN</vt:lpstr>
      <vt:lpstr>VIII. TPTGR</vt:lpstr>
      <vt:lpstr>IX.PIUTANG TAK TERTAGIH</vt:lpstr>
      <vt:lpstr>X. DAFTAR PERSEDIAAN</vt:lpstr>
      <vt:lpstr>XI. DAFTAR KUPEM</vt:lpstr>
      <vt:lpstr>XII % KEPEMILIKAN SAHAM</vt:lpstr>
      <vt:lpstr>XIII. MUTASI ASET TETAP</vt:lpstr>
      <vt:lpstr>XIV. KdP</vt:lpstr>
      <vt:lpstr>XV.PENYUSUTAN ASET TETAP</vt:lpstr>
      <vt:lpstr>XVI ASET TAK BERWUJUD</vt:lpstr>
      <vt:lpstr>XVII. ASET LAINNYA</vt:lpstr>
      <vt:lpstr>XVIII UTANG JANGKA PENDEK 2018</vt:lpstr>
      <vt:lpstr>XIX. UTANG BAGI HASIL PAJ</vt:lpstr>
      <vt:lpstr>XX PENERIMAAN HIBAH</vt:lpstr>
      <vt:lpstr>XXI.DAFTAR HIBAH BARANG SKPD</vt:lpstr>
      <vt:lpstr>XVI DAMPAK KUMULATIF</vt:lpstr>
      <vt:lpstr>XXIII. REKAP BANTUAN PEMERINTAH</vt:lpstr>
      <vt:lpstr>XXIV. IPP</vt:lpstr>
      <vt:lpstr>XXV. BOS APBN</vt:lpstr>
      <vt:lpstr>XXVI. BEBAN BANPER</vt:lpstr>
      <vt:lpstr>XXVII. BEBAN IPP</vt:lpstr>
      <vt:lpstr>XXVIII. SALDO KAS BOS</vt:lpstr>
      <vt:lpstr>XXIX. PENDAPATAN BANPER</vt:lpstr>
      <vt:lpstr>XXX. PENDAPATAN IPP</vt:lpstr>
      <vt:lpstr>XXXI. SALDO KAS BANPER</vt:lpstr>
      <vt:lpstr>XXXII. SALDO KAS IPP</vt:lpstr>
      <vt:lpstr>'VIII. TPTGR'!Print_Area</vt:lpstr>
      <vt:lpstr>'X. DAFTAR PERSEDIAAN'!Print_Area</vt:lpstr>
      <vt:lpstr>'XVIII UTANG JANGKA PENDEK 2018'!Print_Area</vt:lpstr>
      <vt:lpstr>'V PENGEMBALIAN BP'!Print_Titles</vt:lpstr>
      <vt:lpstr>'VI DAFTAR PIUTANG Pnd RETRI'!Print_Titles</vt:lpstr>
      <vt:lpstr>'VIII. TPTGR'!Print_Titles</vt:lpstr>
      <vt:lpstr>'X. DAFTAR PERSEDIAAN'!Print_Titles</vt:lpstr>
      <vt:lpstr>'XIV. KdP'!Print_Titles</vt:lpstr>
      <vt:lpstr>'XX PENERIMAAN HIBAH'!Print_Titles</vt:lpstr>
      <vt:lpstr>'XXI.DAFTAR HIBAH BARANG SKPD'!Print_Titles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Dwirani Indah Pratiwi</dc:creator>
  <cp:lastModifiedBy>user</cp:lastModifiedBy>
  <cp:lastPrinted>2019-06-21T01:24:06Z</cp:lastPrinted>
  <dcterms:created xsi:type="dcterms:W3CDTF">1996-10-14T23:33:00Z</dcterms:created>
  <dcterms:modified xsi:type="dcterms:W3CDTF">2019-06-21T02:10:29Z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1033-10.2.0.7646</vt:lpwstr>
  </property>
</Properties>
</file>